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"/>
    </mc:Choice>
  </mc:AlternateContent>
  <bookViews>
    <workbookView xWindow="0" yWindow="0" windowWidth="28800" windowHeight="12630"/>
  </bookViews>
  <sheets>
    <sheet name="8-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6" i="1" l="1"/>
  <c r="I265" i="1"/>
  <c r="I184" i="1"/>
  <c r="G182" i="1"/>
  <c r="I178" i="1"/>
  <c r="I176" i="1"/>
  <c r="G176" i="1"/>
  <c r="B142" i="1"/>
  <c r="L141" i="1"/>
  <c r="K141" i="1"/>
  <c r="B141" i="1"/>
  <c r="M140" i="1"/>
  <c r="D140" i="1" s="1"/>
  <c r="E140" i="1"/>
  <c r="F140" i="1" s="1"/>
  <c r="G140" i="1" s="1"/>
  <c r="M139" i="1"/>
  <c r="F139" i="1"/>
  <c r="E139" i="1"/>
  <c r="M138" i="1"/>
  <c r="E138" i="1"/>
  <c r="F138" i="1" s="1"/>
  <c r="G138" i="1" s="1"/>
  <c r="M137" i="1"/>
  <c r="F137" i="1"/>
  <c r="G137" i="1" s="1"/>
  <c r="E137" i="1"/>
  <c r="P106" i="1" s="1"/>
  <c r="M136" i="1"/>
  <c r="E136" i="1"/>
  <c r="F136" i="1" s="1"/>
  <c r="M135" i="1"/>
  <c r="E135" i="1"/>
  <c r="F135" i="1" s="1"/>
  <c r="M134" i="1"/>
  <c r="F134" i="1"/>
  <c r="G134" i="1" s="1"/>
  <c r="E134" i="1"/>
  <c r="M133" i="1"/>
  <c r="F133" i="1"/>
  <c r="E133" i="1"/>
  <c r="M132" i="1"/>
  <c r="E132" i="1"/>
  <c r="F132" i="1" s="1"/>
  <c r="G132" i="1" s="1"/>
  <c r="M131" i="1"/>
  <c r="F131" i="1"/>
  <c r="G131" i="1" s="1"/>
  <c r="E131" i="1"/>
  <c r="M130" i="1"/>
  <c r="G130" i="1"/>
  <c r="E130" i="1"/>
  <c r="F130" i="1" s="1"/>
  <c r="M129" i="1"/>
  <c r="D129" i="1"/>
  <c r="E129" i="1" s="1"/>
  <c r="P105" i="1" s="1"/>
  <c r="M128" i="1"/>
  <c r="F128" i="1"/>
  <c r="G128" i="1" s="1"/>
  <c r="E128" i="1"/>
  <c r="M127" i="1"/>
  <c r="D127" i="1"/>
  <c r="E127" i="1" s="1"/>
  <c r="F127" i="1" s="1"/>
  <c r="G127" i="1" s="1"/>
  <c r="M126" i="1"/>
  <c r="E126" i="1"/>
  <c r="F126" i="1" s="1"/>
  <c r="G126" i="1" s="1"/>
  <c r="M125" i="1"/>
  <c r="E125" i="1"/>
  <c r="F125" i="1" s="1"/>
  <c r="M124" i="1"/>
  <c r="F124" i="1"/>
  <c r="G124" i="1" s="1"/>
  <c r="E124" i="1"/>
  <c r="M123" i="1"/>
  <c r="E123" i="1"/>
  <c r="F123" i="1" s="1"/>
  <c r="G123" i="1" s="1"/>
  <c r="M122" i="1"/>
  <c r="D122" i="1"/>
  <c r="E122" i="1" s="1"/>
  <c r="F122" i="1" s="1"/>
  <c r="G122" i="1" s="1"/>
  <c r="Q121" i="1"/>
  <c r="M121" i="1"/>
  <c r="E121" i="1"/>
  <c r="F121" i="1" s="1"/>
  <c r="G121" i="1" s="1"/>
  <c r="M120" i="1"/>
  <c r="C120" i="1" s="1"/>
  <c r="E120" i="1" s="1"/>
  <c r="F120" i="1" s="1"/>
  <c r="G120" i="1" s="1"/>
  <c r="M119" i="1"/>
  <c r="F119" i="1"/>
  <c r="G119" i="1" s="1"/>
  <c r="E119" i="1"/>
  <c r="Q118" i="1"/>
  <c r="M118" i="1"/>
  <c r="E118" i="1"/>
  <c r="F118" i="1" s="1"/>
  <c r="G118" i="1" s="1"/>
  <c r="M117" i="1"/>
  <c r="F117" i="1"/>
  <c r="G117" i="1" s="1"/>
  <c r="E117" i="1"/>
  <c r="M116" i="1"/>
  <c r="D116" i="1" s="1"/>
  <c r="E116" i="1"/>
  <c r="F116" i="1" s="1"/>
  <c r="G116" i="1" s="1"/>
  <c r="M115" i="1"/>
  <c r="E115" i="1"/>
  <c r="F115" i="1" s="1"/>
  <c r="G115" i="1" s="1"/>
  <c r="M114" i="1"/>
  <c r="F114" i="1"/>
  <c r="G114" i="1" s="1"/>
  <c r="D114" i="1"/>
  <c r="E114" i="1" s="1"/>
  <c r="M113" i="1"/>
  <c r="D113" i="1" s="1"/>
  <c r="E113" i="1" s="1"/>
  <c r="F113" i="1"/>
  <c r="G113" i="1" s="1"/>
  <c r="M112" i="1"/>
  <c r="E112" i="1"/>
  <c r="F112" i="1" s="1"/>
  <c r="M111" i="1"/>
  <c r="D111" i="1" s="1"/>
  <c r="E111" i="1" s="1"/>
  <c r="F111" i="1"/>
  <c r="G111" i="1" s="1"/>
  <c r="M110" i="1"/>
  <c r="D110" i="1" s="1"/>
  <c r="E110" i="1" s="1"/>
  <c r="F110" i="1" s="1"/>
  <c r="G110" i="1" s="1"/>
  <c r="M109" i="1"/>
  <c r="C109" i="1" s="1"/>
  <c r="E109" i="1"/>
  <c r="F109" i="1" s="1"/>
  <c r="G109" i="1" s="1"/>
  <c r="M108" i="1"/>
  <c r="D108" i="1"/>
  <c r="M107" i="1"/>
  <c r="B106" i="1"/>
  <c r="M105" i="1"/>
  <c r="F105" i="1"/>
  <c r="G105" i="1" s="1"/>
  <c r="D105" i="1"/>
  <c r="E105" i="1" s="1"/>
  <c r="P104" i="1"/>
  <c r="M104" i="1"/>
  <c r="E104" i="1"/>
  <c r="F104" i="1" s="1"/>
  <c r="P103" i="1"/>
  <c r="M103" i="1"/>
  <c r="C103" i="1"/>
  <c r="M102" i="1"/>
  <c r="D102" i="1"/>
  <c r="E102" i="1" s="1"/>
  <c r="F102" i="1" s="1"/>
  <c r="G102" i="1" s="1"/>
  <c r="P101" i="1"/>
  <c r="M101" i="1"/>
  <c r="G101" i="1"/>
  <c r="E101" i="1"/>
  <c r="F101" i="1" s="1"/>
  <c r="M99" i="1"/>
  <c r="C99" i="1"/>
  <c r="E99" i="1" s="1"/>
  <c r="P100" i="1" s="1"/>
  <c r="B34" i="1"/>
  <c r="B12" i="1" s="1"/>
  <c r="H12" i="1" s="1"/>
  <c r="G16" i="1"/>
  <c r="F16" i="1"/>
  <c r="E16" i="1"/>
  <c r="I180" i="1" s="1"/>
  <c r="D16" i="1"/>
  <c r="H15" i="1"/>
  <c r="H14" i="1"/>
  <c r="H13" i="1"/>
  <c r="B13" i="1"/>
  <c r="B11" i="1"/>
  <c r="I10" i="1"/>
  <c r="I16" i="1" s="1"/>
  <c r="H10" i="1"/>
  <c r="H9" i="1"/>
  <c r="H8" i="1"/>
  <c r="E108" i="1" l="1"/>
  <c r="D141" i="1"/>
  <c r="G184" i="1"/>
  <c r="Q120" i="1"/>
  <c r="F99" i="1"/>
  <c r="M141" i="1"/>
  <c r="D106" i="1"/>
  <c r="Q119" i="1"/>
  <c r="F129" i="1"/>
  <c r="G129" i="1" s="1"/>
  <c r="C141" i="1"/>
  <c r="H11" i="1"/>
  <c r="H16" i="1" s="1"/>
  <c r="B16" i="1"/>
  <c r="I174" i="1" s="1"/>
  <c r="G178" i="1"/>
  <c r="C106" i="1"/>
  <c r="C142" i="1" s="1"/>
  <c r="E103" i="1"/>
  <c r="G180" i="1"/>
  <c r="F103" i="1" l="1"/>
  <c r="P102" i="1"/>
  <c r="G174" i="1"/>
  <c r="I267" i="1"/>
  <c r="Q117" i="1"/>
  <c r="O174" i="1"/>
  <c r="P174" i="1" s="1"/>
  <c r="D142" i="1"/>
  <c r="F108" i="1"/>
  <c r="E141" i="1"/>
  <c r="G99" i="1"/>
  <c r="E106" i="1"/>
  <c r="E142" i="1" s="1"/>
  <c r="E144" i="1" s="1"/>
  <c r="P107" i="1" s="1"/>
  <c r="O263" i="1" l="1"/>
  <c r="P263" i="1" s="1"/>
  <c r="O259" i="1"/>
  <c r="P259" i="1" s="1"/>
  <c r="O254" i="1"/>
  <c r="P254" i="1" s="1"/>
  <c r="O250" i="1"/>
  <c r="P250" i="1" s="1"/>
  <c r="O246" i="1"/>
  <c r="P246" i="1" s="1"/>
  <c r="O242" i="1"/>
  <c r="P242" i="1" s="1"/>
  <c r="O238" i="1"/>
  <c r="P238" i="1" s="1"/>
  <c r="O234" i="1"/>
  <c r="P234" i="1" s="1"/>
  <c r="O230" i="1"/>
  <c r="P230" i="1" s="1"/>
  <c r="O226" i="1"/>
  <c r="P226" i="1" s="1"/>
  <c r="O222" i="1"/>
  <c r="P222" i="1" s="1"/>
  <c r="O218" i="1"/>
  <c r="P218" i="1" s="1"/>
  <c r="O214" i="1"/>
  <c r="P214" i="1" s="1"/>
  <c r="O210" i="1"/>
  <c r="P210" i="1" s="1"/>
  <c r="O206" i="1"/>
  <c r="P206" i="1" s="1"/>
  <c r="O202" i="1"/>
  <c r="P202" i="1" s="1"/>
  <c r="O198" i="1"/>
  <c r="P198" i="1" s="1"/>
  <c r="O194" i="1"/>
  <c r="P194" i="1" s="1"/>
  <c r="O190" i="1"/>
  <c r="P190" i="1" s="1"/>
  <c r="O186" i="1"/>
  <c r="P186" i="1" s="1"/>
  <c r="O262" i="1"/>
  <c r="P262" i="1" s="1"/>
  <c r="O257" i="1"/>
  <c r="P257" i="1" s="1"/>
  <c r="O253" i="1"/>
  <c r="P253" i="1" s="1"/>
  <c r="O249" i="1"/>
  <c r="P249" i="1" s="1"/>
  <c r="O245" i="1"/>
  <c r="P245" i="1" s="1"/>
  <c r="O241" i="1"/>
  <c r="P241" i="1" s="1"/>
  <c r="O237" i="1"/>
  <c r="P237" i="1" s="1"/>
  <c r="O233" i="1"/>
  <c r="P233" i="1" s="1"/>
  <c r="O229" i="1"/>
  <c r="P229" i="1" s="1"/>
  <c r="O225" i="1"/>
  <c r="P225" i="1" s="1"/>
  <c r="O221" i="1"/>
  <c r="P221" i="1" s="1"/>
  <c r="O217" i="1"/>
  <c r="P217" i="1" s="1"/>
  <c r="O213" i="1"/>
  <c r="P213" i="1" s="1"/>
  <c r="O209" i="1"/>
  <c r="P209" i="1" s="1"/>
  <c r="O205" i="1"/>
  <c r="P205" i="1" s="1"/>
  <c r="O201" i="1"/>
  <c r="P201" i="1" s="1"/>
  <c r="O197" i="1"/>
  <c r="P197" i="1" s="1"/>
  <c r="O193" i="1"/>
  <c r="P193" i="1" s="1"/>
  <c r="O189" i="1"/>
  <c r="P189" i="1" s="1"/>
  <c r="O261" i="1"/>
  <c r="P261" i="1" s="1"/>
  <c r="O256" i="1"/>
  <c r="P256" i="1" s="1"/>
  <c r="O252" i="1"/>
  <c r="P252" i="1" s="1"/>
  <c r="O248" i="1"/>
  <c r="P248" i="1" s="1"/>
  <c r="O244" i="1"/>
  <c r="P244" i="1" s="1"/>
  <c r="O240" i="1"/>
  <c r="P240" i="1" s="1"/>
  <c r="O236" i="1"/>
  <c r="P236" i="1" s="1"/>
  <c r="O232" i="1"/>
  <c r="P232" i="1" s="1"/>
  <c r="O228" i="1"/>
  <c r="P228" i="1" s="1"/>
  <c r="O224" i="1"/>
  <c r="P224" i="1" s="1"/>
  <c r="O220" i="1"/>
  <c r="P220" i="1" s="1"/>
  <c r="O216" i="1"/>
  <c r="P216" i="1" s="1"/>
  <c r="O212" i="1"/>
  <c r="P212" i="1" s="1"/>
  <c r="O208" i="1"/>
  <c r="P208" i="1" s="1"/>
  <c r="O204" i="1"/>
  <c r="P204" i="1" s="1"/>
  <c r="O200" i="1"/>
  <c r="P200" i="1" s="1"/>
  <c r="O196" i="1"/>
  <c r="P196" i="1" s="1"/>
  <c r="O192" i="1"/>
  <c r="P192" i="1" s="1"/>
  <c r="O188" i="1"/>
  <c r="P188" i="1" s="1"/>
  <c r="O264" i="1"/>
  <c r="P264" i="1" s="1"/>
  <c r="O215" i="1"/>
  <c r="P215" i="1" s="1"/>
  <c r="O199" i="1"/>
  <c r="P199" i="1" s="1"/>
  <c r="O265" i="1"/>
  <c r="P265" i="1" s="1"/>
  <c r="O251" i="1"/>
  <c r="P251" i="1" s="1"/>
  <c r="O235" i="1"/>
  <c r="P235" i="1" s="1"/>
  <c r="O219" i="1"/>
  <c r="P219" i="1" s="1"/>
  <c r="O203" i="1"/>
  <c r="P203" i="1" s="1"/>
  <c r="O187" i="1"/>
  <c r="P187" i="1" s="1"/>
  <c r="O247" i="1"/>
  <c r="P247" i="1" s="1"/>
  <c r="O182" i="1"/>
  <c r="P182" i="1" s="1"/>
  <c r="O260" i="1"/>
  <c r="P260" i="1" s="1"/>
  <c r="O243" i="1"/>
  <c r="P243" i="1" s="1"/>
  <c r="O227" i="1"/>
  <c r="P227" i="1" s="1"/>
  <c r="O211" i="1"/>
  <c r="P211" i="1" s="1"/>
  <c r="O195" i="1"/>
  <c r="P195" i="1" s="1"/>
  <c r="O255" i="1"/>
  <c r="P255" i="1" s="1"/>
  <c r="O239" i="1"/>
  <c r="P239" i="1" s="1"/>
  <c r="O223" i="1"/>
  <c r="P223" i="1" s="1"/>
  <c r="O207" i="1"/>
  <c r="P207" i="1" s="1"/>
  <c r="O191" i="1"/>
  <c r="P191" i="1" s="1"/>
  <c r="O231" i="1"/>
  <c r="P231" i="1" s="1"/>
  <c r="O184" i="1"/>
  <c r="P184" i="1" s="1"/>
  <c r="O178" i="1"/>
  <c r="P178" i="1" s="1"/>
  <c r="O176" i="1"/>
  <c r="P176" i="1" s="1"/>
  <c r="J269" i="1" s="1"/>
  <c r="O180" i="1"/>
  <c r="P180" i="1" s="1"/>
  <c r="F141" i="1"/>
  <c r="G141" i="1" s="1"/>
  <c r="G108" i="1"/>
  <c r="R117" i="1"/>
  <c r="O117" i="1" s="1"/>
  <c r="Q122" i="1"/>
  <c r="P108" i="1"/>
  <c r="G103" i="1"/>
  <c r="F106" i="1"/>
  <c r="G106" i="1" l="1"/>
  <c r="F142" i="1"/>
  <c r="G142" i="1" s="1"/>
  <c r="Q103" i="1"/>
  <c r="O103" i="1" s="1"/>
  <c r="Q106" i="1"/>
  <c r="O106" i="1" s="1"/>
  <c r="Q105" i="1"/>
  <c r="O105" i="1" s="1"/>
  <c r="Q100" i="1"/>
  <c r="Q101" i="1"/>
  <c r="O101" i="1" s="1"/>
  <c r="Q104" i="1"/>
  <c r="O104" i="1" s="1"/>
  <c r="Q102" i="1"/>
  <c r="O102" i="1" s="1"/>
  <c r="R118" i="1"/>
  <c r="O118" i="1" s="1"/>
  <c r="R121" i="1"/>
  <c r="O121" i="1" s="1"/>
  <c r="R120" i="1"/>
  <c r="O120" i="1" s="1"/>
  <c r="R119" i="1"/>
  <c r="O119" i="1" s="1"/>
  <c r="Q107" i="1"/>
  <c r="O107" i="1" s="1"/>
  <c r="Q108" i="1" l="1"/>
  <c r="O100" i="1"/>
</calcChain>
</file>

<file path=xl/sharedStrings.xml><?xml version="1.0" encoding="utf-8"?>
<sst xmlns="http://schemas.openxmlformats.org/spreadsheetml/2006/main" count="437" uniqueCount="311">
  <si>
    <t>CITY OF RANCHO PALOS VERDES</t>
  </si>
  <si>
    <t>MONTHLY TREASURER'S REPORT</t>
  </si>
  <si>
    <t>AUGUST 2018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</si>
  <si>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</si>
  <si>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</si>
  <si>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</si>
  <si>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</si>
  <si>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</si>
  <si>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</si>
  <si>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</si>
  <si>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</si>
  <si>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</si>
  <si>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</si>
  <si>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</si>
  <si>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</si>
  <si>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</si>
  <si>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</si>
  <si>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</si>
  <si>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</si>
  <si>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</si>
  <si>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</si>
  <si>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</si>
  <si>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</si>
  <si>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</si>
  <si>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</si>
  <si>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</si>
  <si>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</si>
  <si>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</si>
  <si>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</si>
  <si>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</si>
  <si>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</si>
  <si>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</si>
  <si>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</si>
  <si>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</si>
  <si>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</si>
  <si>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HSA Premium</t>
  </si>
  <si>
    <t xml:space="preserve">      Postage </t>
  </si>
  <si>
    <t xml:space="preserve">      Bank and Merchant Fees</t>
  </si>
  <si>
    <t>(3) The net adjustment was due to void checks and deposit adjustment.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</si>
  <si>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</si>
  <si>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</si>
  <si>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</si>
  <si>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</si>
  <si>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</si>
  <si>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</si>
  <si>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</si>
  <si>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</si>
  <si>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</si>
  <si>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</si>
  <si>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Aug G/L Balance</t>
  </si>
  <si>
    <t>Aug Report Balance</t>
  </si>
  <si>
    <t>Variance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</si>
  <si>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</si>
  <si>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</si>
  <si>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</si>
  <si>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</si>
  <si>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</si>
  <si>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</si>
  <si>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</si>
  <si>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</si>
  <si>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</si>
  <si>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</si>
  <si>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</si>
  <si>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</si>
  <si>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</si>
  <si>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</si>
  <si>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</si>
  <si>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</si>
  <si>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</si>
  <si>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</si>
  <si>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</si>
  <si>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</si>
  <si>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</si>
  <si>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</si>
  <si>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</si>
  <si>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</si>
  <si>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</si>
  <si>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</si>
  <si>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</si>
  <si>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</si>
  <si>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</si>
  <si>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</si>
  <si>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</si>
  <si>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</si>
  <si>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 - MMDA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</si>
  <si>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</si>
  <si>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</si>
  <si>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</si>
  <si>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</si>
  <si>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</si>
  <si>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</si>
  <si>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</si>
  <si>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</si>
  <si>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</si>
  <si>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</si>
  <si>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</si>
  <si>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</si>
  <si>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</si>
  <si>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</si>
  <si>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</si>
  <si>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</si>
  <si>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</si>
  <si>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</si>
  <si>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</si>
  <si>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</si>
  <si>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</si>
  <si>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</si>
  <si>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</si>
  <si>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</si>
  <si>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</si>
  <si>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</si>
  <si>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</si>
  <si>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</si>
  <si>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</si>
  <si>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Vining Sparks</t>
  </si>
  <si>
    <t>Book</t>
  </si>
  <si>
    <t>CUSIP#</t>
  </si>
  <si>
    <t>Date</t>
  </si>
  <si>
    <t>Term</t>
  </si>
  <si>
    <t>Cash</t>
  </si>
  <si>
    <t>Yield</t>
  </si>
  <si>
    <t>% of Portfolio</t>
  </si>
  <si>
    <t>Weighted Return</t>
  </si>
  <si>
    <t>N/A</t>
  </si>
  <si>
    <t>On Demand</t>
  </si>
  <si>
    <t>Malaga Bank</t>
  </si>
  <si>
    <t>Petty Cash</t>
  </si>
  <si>
    <t>State of California</t>
  </si>
  <si>
    <t>CD - Non-Negotiable</t>
  </si>
  <si>
    <t>24 Mos</t>
  </si>
  <si>
    <t>CD - Bank of New York (Vining Sparks)</t>
  </si>
  <si>
    <t>Abacus  Federal Savings Bank</t>
  </si>
  <si>
    <t>00257TAU0</t>
  </si>
  <si>
    <t>39 Mos</t>
  </si>
  <si>
    <t>Allegiance Bank Texas</t>
  </si>
  <si>
    <t>01748DAY2</t>
  </si>
  <si>
    <t>60 Mos</t>
  </si>
  <si>
    <t>American Express Bank FSB</t>
  </si>
  <si>
    <t>02587CHR4</t>
  </si>
  <si>
    <t>48 Mos</t>
  </si>
  <si>
    <t>American Express Centurion</t>
  </si>
  <si>
    <t>02587DN38</t>
  </si>
  <si>
    <t>BMW Bank North  America</t>
  </si>
  <si>
    <t>05580AER1</t>
  </si>
  <si>
    <t>36 Mos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</si>
  <si>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</si>
  <si>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</si>
  <si>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</si>
  <si>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</si>
  <si>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</si>
  <si>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</si>
  <si>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</si>
  <si>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</si>
  <si>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</si>
  <si>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</si>
  <si>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</si>
  <si>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</si>
  <si>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</si>
  <si>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</si>
  <si>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</si>
  <si>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</si>
  <si>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Bank USA</t>
  </si>
  <si>
    <t>140420YN4</t>
  </si>
  <si>
    <t>Capital One NA</t>
  </si>
  <si>
    <t>14042RDA6</t>
  </si>
  <si>
    <t>Capstone Bank</t>
  </si>
  <si>
    <t>14069TAH8</t>
  </si>
  <si>
    <t>Carroll County State Bank Iowa</t>
  </si>
  <si>
    <t>145087AF9</t>
  </si>
  <si>
    <t>Celtic Bank</t>
  </si>
  <si>
    <t>15118RPC9</t>
  </si>
  <si>
    <t>Community Finl SVCS Bank</t>
  </si>
  <si>
    <t>20364ABW4</t>
  </si>
  <si>
    <t>Continental Bank UT</t>
  </si>
  <si>
    <t>211163GY0</t>
  </si>
  <si>
    <t>Crossfirst Bank</t>
  </si>
  <si>
    <t>22766ABB0</t>
  </si>
  <si>
    <t>Discover Bank</t>
  </si>
  <si>
    <t>254672ZB7</t>
  </si>
  <si>
    <t>East Boston Savings Bank</t>
  </si>
  <si>
    <t>27113PBM2</t>
  </si>
  <si>
    <t>Enerbank USA</t>
  </si>
  <si>
    <t>29266N6P7</t>
  </si>
  <si>
    <t>Everbank / Jacksonville FL</t>
  </si>
  <si>
    <t>29976DQ78</t>
  </si>
  <si>
    <t>Farmers&amp;Merchants BK NEB</t>
  </si>
  <si>
    <t>30781TBD9</t>
  </si>
  <si>
    <t>First Bank of Highland</t>
  </si>
  <si>
    <t>319141GE1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</si>
  <si>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</si>
  <si>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</si>
  <si>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</si>
  <si>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</si>
  <si>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</si>
  <si>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</si>
  <si>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</si>
  <si>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</si>
  <si>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</si>
  <si>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</si>
  <si>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</si>
  <si>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</si>
  <si>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First Western Bank</t>
  </si>
  <si>
    <t>33749VAG3</t>
  </si>
  <si>
    <t>Gold Cast Bank/Chicago</t>
  </si>
  <si>
    <t>38058KDM5</t>
  </si>
  <si>
    <t>45 Mos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</si>
  <si>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</si>
  <si>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</si>
  <si>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</si>
  <si>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</si>
  <si>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</si>
  <si>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</si>
  <si>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</si>
  <si>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</si>
  <si>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</si>
  <si>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</si>
  <si>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</si>
  <si>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</si>
  <si>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</si>
  <si>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</si>
  <si>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</si>
  <si>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</si>
  <si>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</si>
  <si>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</si>
  <si>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</si>
  <si>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</si>
  <si>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</si>
  <si>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</si>
  <si>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</si>
  <si>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</si>
  <si>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</si>
  <si>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</si>
  <si>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</si>
  <si>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</si>
  <si>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</si>
  <si>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</si>
  <si>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</si>
  <si>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</si>
  <si>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</si>
  <si>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</si>
  <si>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</si>
  <si>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</si>
  <si>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</si>
  <si>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Pacific Continental Bank</t>
  </si>
  <si>
    <t>69413CEU9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</si>
  <si>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</si>
  <si>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</si>
  <si>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</si>
  <si>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</si>
  <si>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</si>
  <si>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</si>
  <si>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</si>
  <si>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</si>
  <si>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</si>
  <si>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</si>
  <si>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</si>
  <si>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</si>
  <si>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</si>
  <si>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</si>
  <si>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</si>
  <si>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</si>
  <si>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</si>
  <si>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</si>
  <si>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</si>
  <si>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</si>
  <si>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</si>
  <si>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</si>
  <si>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</si>
  <si>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</si>
  <si>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</si>
  <si>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</si>
  <si>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</si>
  <si>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</si>
  <si>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</si>
  <si>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Union Bank and Trust/OX</t>
  </si>
  <si>
    <t>905200CE9</t>
  </si>
  <si>
    <t>United Community Bk Ill</t>
  </si>
  <si>
    <t>90983WBN0</t>
  </si>
  <si>
    <t>Washington Trust Weterly</t>
  </si>
  <si>
    <t>940637HW4</t>
  </si>
  <si>
    <t>Whitney Bank/MS</t>
  </si>
  <si>
    <t>966594AW3</t>
  </si>
  <si>
    <t>Worlds Foremost Bank</t>
  </si>
  <si>
    <t>981571CV2</t>
  </si>
  <si>
    <t>Yadkin  Bank</t>
  </si>
  <si>
    <t>984308EG7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</si>
  <si>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</si>
  <si>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</si>
  <si>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</si>
  <si>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</si>
  <si>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</si>
  <si>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</si>
  <si>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912828TH3</t>
  </si>
  <si>
    <t>912828WS5</t>
  </si>
  <si>
    <t>10 Mos</t>
  </si>
  <si>
    <t>912828XM7</t>
  </si>
  <si>
    <t>CD - Bank of New York (Vining Sparks) Adj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</si>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</sst>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_(* #,##0_);_(* \(#,##0\);_(* &quot;-&quot;??_);_(@_)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9" fontId="7" fillId="0" borderId="0" xfId="0" applyNumberFormat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2" applyNumberFormat="1" applyFont="1"/>
    <xf numFmtId="166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43" fontId="3" fillId="0" borderId="0" xfId="0" applyNumberFormat="1" applyFont="1" applyFill="1" applyBorder="1"/>
    <xf numFmtId="43" fontId="3" fillId="0" borderId="3" xfId="0" applyNumberFormat="1" applyFont="1" applyFill="1" applyBorder="1"/>
    <xf numFmtId="39" fontId="7" fillId="2" borderId="7" xfId="0" applyNumberFormat="1" applyFont="1" applyFill="1" applyBorder="1"/>
    <xf numFmtId="43" fontId="3" fillId="0" borderId="0" xfId="2" applyNumberFormat="1" applyFont="1" applyBorder="1"/>
    <xf numFmtId="39" fontId="7" fillId="2" borderId="8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 applyBorder="1"/>
    <xf numFmtId="0" fontId="3" fillId="0" borderId="0" xfId="0" quotePrefix="1" applyFont="1" applyFill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0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7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/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wrapText="1"/>
    </xf>
    <xf numFmtId="49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42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42" fontId="3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42" fontId="3" fillId="0" borderId="4" xfId="0" applyNumberFormat="1" applyFont="1" applyFill="1" applyBorder="1" applyAlignment="1">
      <alignment horizontal="right"/>
    </xf>
    <xf numFmtId="42" fontId="3" fillId="0" borderId="4" xfId="0" applyNumberFormat="1" applyFont="1" applyBorder="1" applyAlignment="1">
      <alignment horizontal="right"/>
    </xf>
    <xf numFmtId="44" fontId="3" fillId="0" borderId="0" xfId="0" applyNumberFormat="1" applyFont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9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AUGUST 2018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'[1]8-18 revised'!$O$100:$O$107</c:f>
              <c:strCache>
                <c:ptCount val="8"/>
                <c:pt idx="0">
                  <c:v>GENERAL FUND 29%</c:v>
                </c:pt>
                <c:pt idx="1">
                  <c:v>CIP 40%</c:v>
                </c:pt>
                <c:pt idx="2">
                  <c:v>EQUIPMENT REPLACEMENT 4%</c:v>
                </c:pt>
                <c:pt idx="3">
                  <c:v>1911 ACT 3%</c:v>
                </c:pt>
                <c:pt idx="4">
                  <c:v>HABITAT RESTORATION 2%</c:v>
                </c:pt>
                <c:pt idx="5">
                  <c:v>QUIMBY 2%</c:v>
                </c:pt>
                <c:pt idx="6">
                  <c:v>WATER QUALITY FLOOD PROTECTION 1%</c:v>
                </c:pt>
                <c:pt idx="7">
                  <c:v>OTHER RESTRICTED FUNDS 19%</c:v>
                </c:pt>
              </c:strCache>
            </c:strRef>
          </c:cat>
          <c:val>
            <c:numRef>
              <c:f>'[1]8-18 revised'!$P$100:$P$107</c:f>
              <c:numCache>
                <c:formatCode>_(* #,##0.00_);_(* \(#,##0.00\);_(* "-"??_);_(@_)</c:formatCode>
                <c:ptCount val="8"/>
                <c:pt idx="0">
                  <c:v>17696204.260000002</c:v>
                </c:pt>
                <c:pt idx="1">
                  <c:v>24788610.23</c:v>
                </c:pt>
                <c:pt idx="2">
                  <c:v>2532757.1</c:v>
                </c:pt>
                <c:pt idx="3">
                  <c:v>2086569.3</c:v>
                </c:pt>
                <c:pt idx="4">
                  <c:v>1033279.9099999997</c:v>
                </c:pt>
                <c:pt idx="5">
                  <c:v>1306907.3799999999</c:v>
                </c:pt>
                <c:pt idx="6">
                  <c:v>548311.14999999944</c:v>
                </c:pt>
                <c:pt idx="7">
                  <c:v>11832591.479999997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64950952574412"/>
          <c:y val="0.34647302904564314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AUGUST 2018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757630621551922E-2"/>
          <c:y val="0.18085276305442363"/>
          <c:w val="0.57482565508040773"/>
          <c:h val="0.72441639347610731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'[1]8-18 revised'!$O$117:$O$121</c:f>
              <c:strCache>
                <c:ptCount val="5"/>
                <c:pt idx="0">
                  <c:v>Bank of the West 6%</c:v>
                </c:pt>
                <c:pt idx="1">
                  <c:v>Malaga Bank - MMDA 0%</c:v>
                </c:pt>
                <c:pt idx="2">
                  <c:v>State of California - LAIF 51%</c:v>
                </c:pt>
                <c:pt idx="3">
                  <c:v>Malaga Bank - CD 7%</c:v>
                </c:pt>
                <c:pt idx="4">
                  <c:v>Vining Sparks/Bank of New York - CD 36%</c:v>
                </c:pt>
              </c:strCache>
            </c:strRef>
          </c:cat>
          <c:val>
            <c:numRef>
              <c:f>'[1]8-18 revised'!$Q$117:$Q$121</c:f>
              <c:numCache>
                <c:formatCode>_("$"* #,##0_);_("$"* \(#,##0\);_("$"* "-"_);_(@_)</c:formatCode>
                <c:ptCount val="5"/>
                <c:pt idx="0">
                  <c:v>3778926.7799999979</c:v>
                </c:pt>
                <c:pt idx="1">
                  <c:v>0</c:v>
                </c:pt>
                <c:pt idx="2">
                  <c:v>31449001.909999996</c:v>
                </c:pt>
                <c:pt idx="3" formatCode="_(* #,##0_);_(* \(#,##0\);_(* &quot;-&quot;??_);_(@_)">
                  <c:v>4104565.17</c:v>
                </c:pt>
                <c:pt idx="4" formatCode="_(* #,##0_);_(* \(#,##0\);_(* &quot;-&quot;??_);_(@_)">
                  <c:v>22492736.550000001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642116663268467"/>
          <c:y val="0.4435801879219623"/>
          <c:w val="0.31561838840622691"/>
          <c:h val="0.5266514688241289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19050</xdr:rowOff>
    </xdr:from>
    <xdr:to>
      <xdr:col>8</xdr:col>
      <xdr:colOff>752475</xdr:colOff>
      <xdr:row>74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277</xdr:row>
      <xdr:rowOff>95250</xdr:rowOff>
    </xdr:from>
    <xdr:to>
      <xdr:col>8</xdr:col>
      <xdr:colOff>742950</xdr:colOff>
      <xdr:row>311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8-2019\FY2018-2019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8"/>
      <sheetName val="7-18"/>
      <sheetName val="8-18"/>
      <sheetName val="8-18 revised"/>
    </sheetNames>
    <sheetDataSet>
      <sheetData sheetId="0"/>
      <sheetData sheetId="1"/>
      <sheetData sheetId="2"/>
      <sheetData sheetId="3">
        <row r="100">
          <cell r="O100" t="str">
            <v>GENERAL FUND 29%</v>
          </cell>
          <cell r="P100">
            <v>17696204.260000002</v>
          </cell>
        </row>
        <row r="101">
          <cell r="O101" t="str">
            <v>CIP 40%</v>
          </cell>
          <cell r="P101">
            <v>24788610.23</v>
          </cell>
        </row>
        <row r="102">
          <cell r="O102" t="str">
            <v>EQUIPMENT REPLACEMENT 4%</v>
          </cell>
          <cell r="P102">
            <v>2532757.1</v>
          </cell>
        </row>
        <row r="103">
          <cell r="O103" t="str">
            <v>1911 ACT 3%</v>
          </cell>
          <cell r="P103">
            <v>2086569.3</v>
          </cell>
        </row>
        <row r="104">
          <cell r="O104" t="str">
            <v>HABITAT RESTORATION 2%</v>
          </cell>
          <cell r="P104">
            <v>1033279.9099999997</v>
          </cell>
        </row>
        <row r="105">
          <cell r="O105" t="str">
            <v>QUIMBY 2%</v>
          </cell>
          <cell r="P105">
            <v>1306907.3799999999</v>
          </cell>
        </row>
        <row r="106">
          <cell r="O106" t="str">
            <v>WATER QUALITY FLOOD PROTECTION 1%</v>
          </cell>
          <cell r="P106">
            <v>548311.14999999944</v>
          </cell>
        </row>
        <row r="107">
          <cell r="O107" t="str">
            <v>OTHER RESTRICTED FUNDS 19%</v>
          </cell>
          <cell r="P107">
            <v>11832591.479999997</v>
          </cell>
        </row>
        <row r="117">
          <cell r="O117" t="str">
            <v>Bank of the West 6%</v>
          </cell>
          <cell r="Q117">
            <v>3778926.7799999979</v>
          </cell>
        </row>
        <row r="118">
          <cell r="O118" t="str">
            <v>Malaga Bank - MMDA 0%</v>
          </cell>
          <cell r="Q118">
            <v>0</v>
          </cell>
        </row>
        <row r="119">
          <cell r="O119" t="str">
            <v>State of California - LAIF 51%</v>
          </cell>
          <cell r="Q119">
            <v>31449001.909999996</v>
          </cell>
        </row>
        <row r="120">
          <cell r="O120" t="str">
            <v>Malaga Bank - CD 7%</v>
          </cell>
          <cell r="Q120">
            <v>4104565.17</v>
          </cell>
        </row>
        <row r="121">
          <cell r="O121" t="str">
            <v>Vining Sparks/Bank of New York - CD 36%</v>
          </cell>
          <cell r="Q121">
            <v>22492736.550000001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4"/>
  <sheetViews>
    <sheetView tabSelected="1" workbookViewId="0">
      <selection sqref="A1:XFD1048576"/>
    </sheetView>
  </sheetViews>
  <sheetFormatPr defaultColWidth="9.140625" defaultRowHeight="11.25" x14ac:dyDescent="0.2"/>
  <cols>
    <col min="1" max="1" width="30.7109375" style="3" customWidth="1"/>
    <col min="2" max="2" width="14.28515625" style="3" customWidth="1"/>
    <col min="3" max="3" width="13.5703125" style="3" customWidth="1"/>
    <col min="4" max="4" width="14.140625" style="3" customWidth="1"/>
    <col min="5" max="6" width="12.85546875" style="3" bestFit="1" customWidth="1"/>
    <col min="7" max="7" width="11.7109375" style="3" customWidth="1"/>
    <col min="8" max="8" width="11.85546875" style="3" customWidth="1"/>
    <col min="9" max="9" width="10.7109375" style="3" bestFit="1" customWidth="1"/>
    <col min="10" max="10" width="5.42578125" style="3" bestFit="1" customWidth="1"/>
    <col min="11" max="12" width="15.140625" style="3" customWidth="1"/>
    <col min="13" max="13" width="12" style="3" customWidth="1"/>
    <col min="14" max="14" width="31.5703125" style="3" bestFit="1" customWidth="1"/>
    <col min="15" max="15" width="31.42578125" style="3" bestFit="1" customWidth="1"/>
    <col min="16" max="16" width="20" style="3" customWidth="1"/>
    <col min="17" max="17" width="12" style="3" bestFit="1" customWidth="1"/>
    <col min="18" max="18" width="9.140625" style="3"/>
    <col min="19" max="19" width="12.85546875" style="3" bestFit="1" customWidth="1"/>
    <col min="20" max="20" width="12.85546875" style="4" bestFit="1" customWidth="1"/>
    <col min="21" max="16384" width="9.140625" style="3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spans="1:2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</row>
    <row r="3" spans="1:21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6"/>
      <c r="M3" s="6"/>
      <c r="N3" s="6"/>
    </row>
    <row r="4" spans="1:21" ht="12" x14ac:dyDescent="0.2">
      <c r="A4" s="7"/>
      <c r="B4" s="8"/>
      <c r="C4" s="8"/>
      <c r="D4" s="8"/>
      <c r="E4" s="8"/>
      <c r="F4" s="9"/>
      <c r="G4" s="8"/>
      <c r="H4" s="8"/>
      <c r="I4" s="8"/>
      <c r="J4" s="8"/>
      <c r="K4" s="8"/>
      <c r="L4" s="8"/>
      <c r="M4" s="8"/>
      <c r="N4" s="8"/>
    </row>
    <row r="5" spans="1:21" x14ac:dyDescent="0.2">
      <c r="A5" s="10"/>
      <c r="B5" s="11" t="s">
        <v>3</v>
      </c>
      <c r="C5" s="11" t="s">
        <v>4</v>
      </c>
      <c r="D5" s="10"/>
      <c r="E5" s="10"/>
      <c r="F5" s="11" t="s">
        <v>4</v>
      </c>
      <c r="G5" s="12"/>
      <c r="H5" s="12"/>
      <c r="I5" s="11" t="s">
        <v>5</v>
      </c>
      <c r="J5" s="12"/>
      <c r="K5" s="12"/>
      <c r="L5" s="12"/>
      <c r="M5" s="11"/>
      <c r="N5" s="11"/>
    </row>
    <row r="6" spans="1:21" x14ac:dyDescent="0.2">
      <c r="A6" s="10"/>
      <c r="B6" s="11" t="s">
        <v>6</v>
      </c>
      <c r="C6" s="11" t="s">
        <v>3</v>
      </c>
      <c r="D6" s="10"/>
      <c r="E6" s="10"/>
      <c r="F6" s="11" t="s">
        <v>3</v>
      </c>
      <c r="G6" s="12" t="s">
        <v>7</v>
      </c>
      <c r="H6" s="12"/>
      <c r="I6" s="11"/>
      <c r="J6" s="12"/>
      <c r="K6" s="12"/>
      <c r="L6" s="12"/>
      <c r="M6" s="11"/>
      <c r="N6" s="11"/>
    </row>
    <row r="7" spans="1:21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11</v>
      </c>
      <c r="H7" s="13" t="s">
        <v>12</v>
      </c>
      <c r="I7" s="13" t="s">
        <v>13</v>
      </c>
      <c r="J7" s="12"/>
      <c r="K7" s="12"/>
      <c r="L7" s="12"/>
      <c r="M7" s="12"/>
      <c r="N7" s="12"/>
    </row>
    <row r="8" spans="1:21" x14ac:dyDescent="0.2">
      <c r="A8" s="14" t="s">
        <v>14</v>
      </c>
      <c r="B8" s="15">
        <v>5566254.9899999984</v>
      </c>
      <c r="C8" s="15"/>
      <c r="D8" s="15">
        <v>3000</v>
      </c>
      <c r="E8" s="15">
        <v>31449001.909999996</v>
      </c>
      <c r="F8" s="15">
        <v>4104565.17</v>
      </c>
      <c r="G8" s="15">
        <v>20551791.599999998</v>
      </c>
      <c r="H8" s="15">
        <f>SUM(B8:G8)</f>
        <v>61674613.669999987</v>
      </c>
      <c r="I8" s="15"/>
      <c r="J8" s="16"/>
      <c r="K8" s="16"/>
      <c r="L8" s="16"/>
      <c r="M8" s="16"/>
      <c r="N8" s="15"/>
    </row>
    <row r="9" spans="1:21" x14ac:dyDescent="0.2">
      <c r="A9" s="14" t="s">
        <v>15</v>
      </c>
      <c r="B9" s="17">
        <v>2889434.17</v>
      </c>
      <c r="C9" s="17"/>
      <c r="D9" s="17"/>
      <c r="E9" s="17"/>
      <c r="F9" s="17"/>
      <c r="G9" s="17"/>
      <c r="H9" s="15">
        <f t="shared" ref="H9:H15" si="0">SUM(B9:G9)</f>
        <v>2889434.17</v>
      </c>
      <c r="I9" s="15"/>
      <c r="J9" s="16"/>
      <c r="K9" s="16"/>
      <c r="L9" s="16"/>
      <c r="M9" s="16"/>
      <c r="N9" s="16"/>
      <c r="U9" s="18"/>
    </row>
    <row r="10" spans="1:21" x14ac:dyDescent="0.2">
      <c r="A10" s="14" t="s">
        <v>16</v>
      </c>
      <c r="B10" s="19"/>
      <c r="C10" s="19"/>
      <c r="D10" s="17"/>
      <c r="E10" s="17"/>
      <c r="F10" s="17"/>
      <c r="G10" s="17"/>
      <c r="H10" s="15">
        <f t="shared" si="0"/>
        <v>0</v>
      </c>
      <c r="I10" s="15">
        <f>130468.99</f>
        <v>130468.99</v>
      </c>
      <c r="J10" s="16"/>
      <c r="K10" s="16"/>
      <c r="L10" s="16"/>
      <c r="M10" s="16"/>
      <c r="N10" s="16"/>
      <c r="U10" s="18"/>
    </row>
    <row r="11" spans="1:21" x14ac:dyDescent="0.2">
      <c r="A11" s="14" t="s">
        <v>17</v>
      </c>
      <c r="B11" s="17">
        <f>-2184139.64+6706.91</f>
        <v>-2177432.73</v>
      </c>
      <c r="C11" s="17"/>
      <c r="D11" s="19"/>
      <c r="E11" s="19"/>
      <c r="F11" s="17"/>
      <c r="G11" s="17"/>
      <c r="H11" s="15">
        <f t="shared" si="0"/>
        <v>-2177432.73</v>
      </c>
      <c r="I11" s="15"/>
      <c r="J11" s="16"/>
      <c r="K11" s="16"/>
      <c r="L11" s="16"/>
      <c r="M11" s="16"/>
      <c r="N11" s="16"/>
      <c r="U11" s="18"/>
    </row>
    <row r="12" spans="1:21" x14ac:dyDescent="0.2">
      <c r="A12" s="14" t="s">
        <v>18</v>
      </c>
      <c r="B12" s="17">
        <f>-B34</f>
        <v>-613717.64</v>
      </c>
      <c r="C12" s="17"/>
      <c r="D12" s="19"/>
      <c r="E12" s="19"/>
      <c r="F12" s="19"/>
      <c r="G12" s="17"/>
      <c r="H12" s="15">
        <f t="shared" si="0"/>
        <v>-613717.64</v>
      </c>
      <c r="I12" s="15"/>
      <c r="J12" s="16"/>
      <c r="K12" s="16"/>
      <c r="L12" s="16"/>
      <c r="M12" s="16"/>
      <c r="N12" s="16"/>
      <c r="U12" s="18"/>
    </row>
    <row r="13" spans="1:21" x14ac:dyDescent="0.2">
      <c r="A13" s="14" t="s">
        <v>19</v>
      </c>
      <c r="B13" s="17">
        <f>46022.37+6310.97</f>
        <v>52333.340000000004</v>
      </c>
      <c r="C13" s="17"/>
      <c r="D13" s="17"/>
      <c r="E13" s="17"/>
      <c r="F13" s="17"/>
      <c r="G13" s="17"/>
      <c r="H13" s="15">
        <f t="shared" si="0"/>
        <v>52333.340000000004</v>
      </c>
      <c r="I13" s="15"/>
      <c r="J13" s="16"/>
      <c r="K13" s="16"/>
      <c r="L13" s="16"/>
      <c r="M13" s="16"/>
      <c r="N13" s="16"/>
    </row>
    <row r="14" spans="1:21" x14ac:dyDescent="0.2">
      <c r="A14" s="14" t="s">
        <v>20</v>
      </c>
      <c r="B14" s="19"/>
      <c r="C14" s="19"/>
      <c r="D14" s="17"/>
      <c r="E14" s="17"/>
      <c r="F14" s="17"/>
      <c r="G14" s="15">
        <v>1940945.35</v>
      </c>
      <c r="H14" s="15">
        <f t="shared" si="0"/>
        <v>1940945.35</v>
      </c>
      <c r="I14" s="15"/>
      <c r="J14" s="16"/>
      <c r="K14" s="16"/>
      <c r="L14" s="16"/>
      <c r="M14" s="16"/>
      <c r="N14" s="16"/>
    </row>
    <row r="15" spans="1:21" ht="12" thickBot="1" x14ac:dyDescent="0.25">
      <c r="A15" s="20" t="s">
        <v>21</v>
      </c>
      <c r="B15" s="19">
        <v>-1940945.35</v>
      </c>
      <c r="C15" s="19"/>
      <c r="D15" s="21"/>
      <c r="E15" s="21"/>
      <c r="F15" s="19"/>
      <c r="G15" s="21"/>
      <c r="H15" s="15">
        <f t="shared" si="0"/>
        <v>-1940945.35</v>
      </c>
      <c r="I15" s="15"/>
      <c r="J15" s="16"/>
      <c r="K15" s="16"/>
      <c r="L15" s="16"/>
      <c r="M15" s="16"/>
      <c r="N15" s="16"/>
    </row>
    <row r="16" spans="1:21" ht="12" thickBot="1" x14ac:dyDescent="0.25">
      <c r="A16" s="14" t="s">
        <v>22</v>
      </c>
      <c r="B16" s="22">
        <f t="shared" ref="B16:I16" si="1">SUM(B8:B15)</f>
        <v>3775926.7799999979</v>
      </c>
      <c r="C16" s="22"/>
      <c r="D16" s="22">
        <f t="shared" si="1"/>
        <v>3000</v>
      </c>
      <c r="E16" s="22">
        <f t="shared" si="1"/>
        <v>31449001.909999996</v>
      </c>
      <c r="F16" s="22">
        <f t="shared" si="1"/>
        <v>4104565.17</v>
      </c>
      <c r="G16" s="22">
        <f t="shared" si="1"/>
        <v>22492736.949999999</v>
      </c>
      <c r="H16" s="22">
        <f t="shared" si="1"/>
        <v>61825230.809999995</v>
      </c>
      <c r="I16" s="23">
        <f t="shared" si="1"/>
        <v>130468.99</v>
      </c>
      <c r="J16" s="16"/>
      <c r="K16" s="16"/>
      <c r="L16" s="16"/>
      <c r="M16" s="16"/>
      <c r="N16" s="16"/>
    </row>
    <row r="17" spans="1:14" ht="12" thickTop="1" x14ac:dyDescent="0.2">
      <c r="B17" s="24"/>
      <c r="C17" s="24"/>
      <c r="D17" s="24"/>
      <c r="E17" s="24"/>
      <c r="F17" s="25"/>
      <c r="G17" s="24"/>
      <c r="H17" s="17"/>
      <c r="I17" s="26"/>
      <c r="J17" s="15"/>
      <c r="K17" s="15"/>
      <c r="L17" s="15"/>
      <c r="M17" s="15"/>
      <c r="N17" s="16"/>
    </row>
    <row r="18" spans="1:14" x14ac:dyDescent="0.2">
      <c r="A18" s="3" t="s">
        <v>23</v>
      </c>
      <c r="B18" s="24"/>
      <c r="C18" s="24"/>
      <c r="D18" s="24"/>
      <c r="E18" s="24"/>
      <c r="F18" s="25"/>
      <c r="G18" s="17"/>
      <c r="H18" s="17"/>
      <c r="I18" s="26"/>
      <c r="J18" s="15"/>
      <c r="K18" s="15"/>
      <c r="L18" s="15"/>
      <c r="M18" s="15"/>
      <c r="N18" s="27"/>
    </row>
    <row r="19" spans="1:14" x14ac:dyDescent="0.2">
      <c r="A19" s="3" t="s">
        <v>24</v>
      </c>
      <c r="B19" s="28"/>
      <c r="C19" s="28"/>
      <c r="D19" s="24"/>
      <c r="E19" s="24"/>
      <c r="F19" s="25"/>
      <c r="G19" s="17"/>
      <c r="H19" s="17"/>
      <c r="I19" s="26"/>
      <c r="J19" s="26"/>
      <c r="K19" s="26"/>
      <c r="L19" s="26"/>
      <c r="M19" s="26"/>
      <c r="N19" s="27"/>
    </row>
    <row r="20" spans="1:14" x14ac:dyDescent="0.2">
      <c r="A20" s="3" t="s">
        <v>25</v>
      </c>
      <c r="B20" s="29">
        <v>367754.17</v>
      </c>
      <c r="C20" s="29"/>
      <c r="D20" s="27"/>
      <c r="E20" s="27"/>
      <c r="G20" s="26"/>
      <c r="H20" s="26"/>
      <c r="I20" s="26"/>
      <c r="J20" s="26"/>
      <c r="K20" s="26"/>
      <c r="L20" s="26"/>
      <c r="M20" s="26"/>
      <c r="N20" s="27"/>
    </row>
    <row r="21" spans="1:14" ht="11.25" customHeight="1" x14ac:dyDescent="0.2">
      <c r="A21" s="3" t="s">
        <v>26</v>
      </c>
      <c r="B21" s="29">
        <v>237164.7</v>
      </c>
      <c r="C21" s="29"/>
      <c r="D21" s="27"/>
      <c r="E21" s="27"/>
      <c r="G21" s="26"/>
      <c r="H21" s="26"/>
      <c r="I21" s="26"/>
      <c r="J21" s="26"/>
      <c r="K21" s="26"/>
      <c r="L21" s="26"/>
      <c r="M21" s="26"/>
      <c r="N21" s="27"/>
    </row>
    <row r="22" spans="1:14" hidden="1" x14ac:dyDescent="0.2">
      <c r="A22" s="3" t="s">
        <v>27</v>
      </c>
      <c r="B22" s="26"/>
      <c r="C22" s="26"/>
      <c r="D22" s="27"/>
      <c r="E22" s="27"/>
      <c r="G22" s="26"/>
      <c r="H22" s="26"/>
      <c r="I22" s="26"/>
      <c r="J22" s="26"/>
      <c r="K22" s="26"/>
      <c r="L22" s="26"/>
      <c r="M22" s="26"/>
      <c r="N22" s="27"/>
    </row>
    <row r="23" spans="1:14" hidden="1" x14ac:dyDescent="0.2">
      <c r="A23" s="3" t="s">
        <v>28</v>
      </c>
      <c r="B23" s="26"/>
      <c r="C23" s="26"/>
      <c r="D23" s="27"/>
      <c r="E23" s="27"/>
      <c r="G23" s="26"/>
      <c r="H23" s="26"/>
      <c r="I23" s="26"/>
      <c r="J23" s="26"/>
      <c r="K23" s="26"/>
      <c r="L23" s="26"/>
      <c r="M23" s="26"/>
      <c r="N23" s="27"/>
    </row>
    <row r="24" spans="1:14" hidden="1" x14ac:dyDescent="0.2">
      <c r="A24" s="3" t="s">
        <v>29</v>
      </c>
      <c r="B24" s="26"/>
      <c r="C24" s="26"/>
      <c r="D24" s="27"/>
      <c r="E24" s="27"/>
      <c r="G24" s="26"/>
      <c r="H24" s="26"/>
      <c r="I24" s="26"/>
      <c r="J24" s="26"/>
      <c r="K24" s="26"/>
      <c r="L24" s="26"/>
      <c r="M24" s="26"/>
      <c r="N24" s="27"/>
    </row>
    <row r="25" spans="1:14" hidden="1" x14ac:dyDescent="0.2">
      <c r="A25" s="3" t="s">
        <v>30</v>
      </c>
      <c r="B25" s="26"/>
      <c r="C25" s="26"/>
      <c r="D25" s="27"/>
      <c r="E25" s="27"/>
      <c r="G25" s="26"/>
      <c r="H25" s="26"/>
      <c r="I25" s="26"/>
      <c r="J25" s="26"/>
      <c r="K25" s="26"/>
      <c r="L25" s="26"/>
      <c r="M25" s="26"/>
      <c r="N25" s="27"/>
    </row>
    <row r="26" spans="1:14" hidden="1" x14ac:dyDescent="0.2">
      <c r="A26" s="3" t="s">
        <v>31</v>
      </c>
      <c r="B26" s="26"/>
      <c r="C26" s="26"/>
      <c r="D26" s="27"/>
      <c r="E26" s="27"/>
      <c r="G26" s="26"/>
      <c r="H26" s="26"/>
      <c r="I26" s="26"/>
      <c r="J26" s="26"/>
      <c r="K26" s="26"/>
      <c r="L26" s="26"/>
      <c r="M26" s="26"/>
      <c r="N26" s="27"/>
    </row>
    <row r="27" spans="1:14" hidden="1" x14ac:dyDescent="0.2">
      <c r="A27" s="3" t="s">
        <v>32</v>
      </c>
      <c r="B27" s="26"/>
      <c r="C27" s="26"/>
      <c r="D27" s="27"/>
      <c r="E27" s="27"/>
      <c r="G27" s="26"/>
      <c r="H27" s="26"/>
      <c r="I27" s="26"/>
      <c r="J27" s="26"/>
      <c r="K27" s="26"/>
      <c r="L27" s="26"/>
      <c r="M27" s="26"/>
      <c r="N27" s="27"/>
    </row>
    <row r="28" spans="1:14" hidden="1" x14ac:dyDescent="0.2">
      <c r="A28" s="3" t="s">
        <v>33</v>
      </c>
      <c r="B28" s="26"/>
      <c r="C28" s="26"/>
      <c r="D28" s="27"/>
      <c r="E28" s="27"/>
      <c r="G28" s="26"/>
      <c r="H28" s="26"/>
      <c r="I28" s="26"/>
      <c r="J28" s="26"/>
      <c r="K28" s="26"/>
      <c r="L28" s="26"/>
      <c r="M28" s="26"/>
      <c r="N28" s="27"/>
    </row>
    <row r="29" spans="1:14" hidden="1" x14ac:dyDescent="0.2">
      <c r="A29" s="3" t="s">
        <v>34</v>
      </c>
      <c r="B29" s="17"/>
      <c r="C29" s="17"/>
      <c r="D29" s="27"/>
      <c r="E29" s="27"/>
      <c r="G29" s="26"/>
      <c r="H29" s="26"/>
      <c r="I29" s="26"/>
      <c r="J29" s="26"/>
      <c r="K29" s="26"/>
      <c r="L29" s="26"/>
      <c r="M29" s="26"/>
      <c r="N29" s="27"/>
    </row>
    <row r="30" spans="1:14" x14ac:dyDescent="0.2">
      <c r="A30" s="3" t="s">
        <v>32</v>
      </c>
      <c r="B30" s="17">
        <v>1050</v>
      </c>
      <c r="C30" s="17"/>
      <c r="D30" s="27"/>
      <c r="E30" s="27"/>
      <c r="G30" s="26"/>
      <c r="H30" s="26"/>
      <c r="I30" s="26"/>
      <c r="J30" s="26"/>
      <c r="K30" s="26"/>
      <c r="L30" s="26"/>
      <c r="M30" s="26"/>
      <c r="N30" s="27"/>
    </row>
    <row r="31" spans="1:14" hidden="1" x14ac:dyDescent="0.2">
      <c r="A31" s="3" t="s">
        <v>35</v>
      </c>
      <c r="B31" s="17"/>
      <c r="C31" s="17"/>
      <c r="D31" s="27"/>
      <c r="E31" s="27"/>
      <c r="G31" s="26"/>
      <c r="H31" s="26"/>
      <c r="I31" s="26"/>
      <c r="J31" s="26"/>
      <c r="K31" s="26"/>
      <c r="L31" s="26"/>
      <c r="M31" s="26"/>
      <c r="N31" s="27"/>
    </row>
    <row r="32" spans="1:14" x14ac:dyDescent="0.2">
      <c r="A32" s="3" t="s">
        <v>36</v>
      </c>
      <c r="B32" s="17">
        <v>2500</v>
      </c>
      <c r="C32" s="17"/>
      <c r="D32" s="27"/>
      <c r="E32" s="27"/>
      <c r="G32" s="26"/>
      <c r="H32" s="26"/>
      <c r="I32" s="26"/>
      <c r="J32" s="26"/>
      <c r="K32" s="26"/>
      <c r="L32" s="26"/>
      <c r="M32" s="26"/>
      <c r="N32" s="27"/>
    </row>
    <row r="33" spans="1:14" x14ac:dyDescent="0.2">
      <c r="A33" s="3" t="s">
        <v>37</v>
      </c>
      <c r="B33" s="30">
        <v>5248.77</v>
      </c>
      <c r="C33" s="19"/>
      <c r="D33" s="27"/>
      <c r="E33" s="27"/>
      <c r="G33" s="26"/>
      <c r="H33" s="26"/>
      <c r="I33" s="26"/>
      <c r="J33" s="26"/>
      <c r="K33" s="26"/>
      <c r="L33" s="26"/>
      <c r="M33" s="26"/>
      <c r="N33" s="27"/>
    </row>
    <row r="34" spans="1:14" ht="12" thickBot="1" x14ac:dyDescent="0.25">
      <c r="A34" s="31"/>
      <c r="B34" s="32">
        <f>SUM(B20:B33)</f>
        <v>613717.64</v>
      </c>
      <c r="C34" s="33"/>
      <c r="D34" s="27"/>
      <c r="E34" s="27"/>
      <c r="G34" s="26"/>
      <c r="H34" s="26"/>
      <c r="I34" s="26"/>
      <c r="J34" s="26"/>
      <c r="K34" s="26"/>
      <c r="L34" s="26"/>
      <c r="M34" s="26"/>
      <c r="N34" s="27"/>
    </row>
    <row r="35" spans="1:14" ht="12" thickTop="1" x14ac:dyDescent="0.2">
      <c r="A35" s="31"/>
      <c r="B35" s="33"/>
      <c r="C35" s="33"/>
      <c r="D35" s="27"/>
      <c r="E35" s="27"/>
      <c r="G35" s="26"/>
      <c r="H35" s="26"/>
      <c r="I35" s="26"/>
      <c r="J35" s="26"/>
      <c r="K35" s="26"/>
      <c r="L35" s="26"/>
      <c r="M35" s="26"/>
      <c r="N35" s="27"/>
    </row>
    <row r="36" spans="1:14" x14ac:dyDescent="0.2">
      <c r="A36" s="3" t="s">
        <v>38</v>
      </c>
      <c r="B36" s="33"/>
      <c r="C36" s="33"/>
      <c r="D36" s="27"/>
      <c r="E36" s="27"/>
      <c r="G36" s="26"/>
      <c r="H36" s="26"/>
      <c r="I36" s="26"/>
      <c r="J36" s="26"/>
      <c r="K36" s="26"/>
      <c r="L36" s="26"/>
      <c r="M36" s="26"/>
      <c r="N36" s="27"/>
    </row>
    <row r="37" spans="1:14" x14ac:dyDescent="0.2">
      <c r="B37" s="33"/>
      <c r="C37" s="33"/>
      <c r="D37" s="27"/>
      <c r="E37" s="27"/>
      <c r="G37" s="26"/>
      <c r="H37" s="26"/>
      <c r="I37" s="26"/>
      <c r="J37" s="26"/>
      <c r="K37" s="26"/>
      <c r="L37" s="26"/>
      <c r="M37" s="26"/>
      <c r="N37" s="27"/>
    </row>
    <row r="38" spans="1:14" x14ac:dyDescent="0.2">
      <c r="B38" s="33"/>
      <c r="C38" s="33"/>
      <c r="D38" s="27"/>
      <c r="E38" s="27"/>
      <c r="G38" s="26"/>
      <c r="H38" s="26"/>
      <c r="I38" s="26"/>
      <c r="J38" s="26"/>
      <c r="K38" s="26"/>
      <c r="L38" s="26"/>
      <c r="M38" s="26"/>
      <c r="N38" s="27"/>
    </row>
    <row r="39" spans="1:14" x14ac:dyDescent="0.2">
      <c r="B39" s="33"/>
      <c r="C39" s="33"/>
      <c r="D39" s="27"/>
      <c r="E39" s="27"/>
      <c r="G39" s="26"/>
      <c r="H39" s="26"/>
      <c r="I39" s="26"/>
      <c r="J39" s="26"/>
      <c r="K39" s="26"/>
      <c r="L39" s="26"/>
      <c r="M39" s="26"/>
      <c r="N39" s="27"/>
    </row>
    <row r="40" spans="1:14" x14ac:dyDescent="0.2">
      <c r="B40" s="33"/>
      <c r="C40" s="33"/>
      <c r="D40" s="27"/>
      <c r="E40" s="27"/>
      <c r="G40" s="26"/>
      <c r="H40" s="26"/>
      <c r="I40" s="26"/>
      <c r="J40" s="26"/>
      <c r="K40" s="26"/>
      <c r="L40" s="26"/>
      <c r="M40" s="26"/>
      <c r="N40" s="27"/>
    </row>
    <row r="41" spans="1:14" x14ac:dyDescent="0.2">
      <c r="B41" s="33"/>
      <c r="C41" s="33"/>
      <c r="D41" s="27"/>
      <c r="E41" s="27"/>
      <c r="G41" s="26"/>
      <c r="H41" s="26"/>
      <c r="I41" s="26"/>
      <c r="J41" s="26"/>
      <c r="K41" s="26"/>
      <c r="L41" s="26"/>
      <c r="M41" s="26"/>
      <c r="N41" s="27"/>
    </row>
    <row r="42" spans="1:14" x14ac:dyDescent="0.2">
      <c r="B42" s="33"/>
      <c r="C42" s="33"/>
      <c r="D42" s="27"/>
      <c r="E42" s="27"/>
      <c r="G42" s="26"/>
      <c r="H42" s="26"/>
      <c r="I42" s="26"/>
      <c r="J42" s="26"/>
      <c r="K42" s="26"/>
      <c r="L42" s="26"/>
      <c r="M42" s="26"/>
      <c r="N42" s="27"/>
    </row>
    <row r="43" spans="1:14" x14ac:dyDescent="0.2">
      <c r="B43" s="33"/>
      <c r="C43" s="33"/>
      <c r="D43" s="27"/>
      <c r="E43" s="27"/>
      <c r="G43" s="26"/>
      <c r="H43" s="26"/>
      <c r="I43" s="26"/>
      <c r="J43" s="26"/>
      <c r="K43" s="26"/>
      <c r="L43" s="26"/>
      <c r="M43" s="26"/>
      <c r="N43" s="27"/>
    </row>
    <row r="44" spans="1:14" x14ac:dyDescent="0.2">
      <c r="B44" s="33"/>
      <c r="C44" s="33"/>
      <c r="D44" s="27"/>
      <c r="E44" s="27"/>
      <c r="G44" s="26"/>
      <c r="H44" s="26"/>
      <c r="I44" s="26"/>
      <c r="J44" s="26"/>
      <c r="K44" s="26"/>
      <c r="L44" s="26"/>
      <c r="M44" s="26"/>
      <c r="N44" s="27"/>
    </row>
    <row r="45" spans="1:14" x14ac:dyDescent="0.2">
      <c r="B45" s="33"/>
      <c r="C45" s="33"/>
      <c r="D45" s="27"/>
      <c r="E45" s="27"/>
      <c r="G45" s="26"/>
      <c r="H45" s="26"/>
      <c r="I45" s="26"/>
      <c r="J45" s="26"/>
      <c r="K45" s="26"/>
      <c r="L45" s="26"/>
      <c r="M45" s="26"/>
      <c r="N45" s="27"/>
    </row>
    <row r="46" spans="1:14" x14ac:dyDescent="0.2">
      <c r="B46" s="33"/>
      <c r="C46" s="33"/>
      <c r="D46" s="27"/>
      <c r="E46" s="27"/>
      <c r="G46" s="26"/>
      <c r="H46" s="26"/>
      <c r="I46" s="26"/>
      <c r="J46" s="26"/>
      <c r="K46" s="26"/>
      <c r="L46" s="26"/>
      <c r="M46" s="26"/>
      <c r="N46" s="27"/>
    </row>
    <row r="47" spans="1:14" x14ac:dyDescent="0.2">
      <c r="B47" s="33"/>
      <c r="C47" s="33"/>
      <c r="D47" s="27"/>
      <c r="E47" s="27"/>
      <c r="G47" s="26"/>
      <c r="H47" s="26"/>
      <c r="I47" s="26"/>
      <c r="J47" s="26"/>
      <c r="K47" s="26"/>
      <c r="L47" s="26"/>
      <c r="M47" s="26"/>
      <c r="N47" s="27"/>
    </row>
    <row r="48" spans="1:14" x14ac:dyDescent="0.2">
      <c r="B48" s="33"/>
      <c r="C48" s="33"/>
      <c r="D48" s="27"/>
      <c r="E48" s="27"/>
      <c r="G48" s="26"/>
      <c r="H48" s="26"/>
      <c r="I48" s="26"/>
      <c r="J48" s="26"/>
      <c r="K48" s="26"/>
      <c r="L48" s="26"/>
      <c r="M48" s="26"/>
      <c r="N48" s="27"/>
    </row>
    <row r="49" spans="2:14" x14ac:dyDescent="0.2">
      <c r="B49" s="33"/>
      <c r="C49" s="33"/>
      <c r="D49" s="27"/>
      <c r="E49" s="27"/>
      <c r="G49" s="26"/>
      <c r="H49" s="26"/>
      <c r="I49" s="26"/>
      <c r="J49" s="26"/>
      <c r="K49" s="26"/>
      <c r="L49" s="26"/>
      <c r="M49" s="26"/>
      <c r="N49" s="27"/>
    </row>
    <row r="50" spans="2:14" x14ac:dyDescent="0.2">
      <c r="B50" s="33"/>
      <c r="C50" s="33"/>
      <c r="D50" s="27"/>
      <c r="E50" s="27"/>
      <c r="G50" s="26"/>
      <c r="H50" s="26"/>
      <c r="I50" s="26"/>
      <c r="J50" s="26"/>
      <c r="K50" s="26"/>
      <c r="L50" s="26"/>
      <c r="M50" s="26"/>
      <c r="N50" s="27"/>
    </row>
    <row r="51" spans="2:14" x14ac:dyDescent="0.2">
      <c r="B51" s="33"/>
      <c r="C51" s="33"/>
      <c r="D51" s="27"/>
      <c r="E51" s="27"/>
      <c r="G51" s="26"/>
      <c r="H51" s="26"/>
      <c r="I51" s="26"/>
      <c r="J51" s="26"/>
      <c r="K51" s="26"/>
      <c r="L51" s="26"/>
      <c r="M51" s="26"/>
      <c r="N51" s="27"/>
    </row>
    <row r="52" spans="2:14" x14ac:dyDescent="0.2">
      <c r="B52" s="33"/>
      <c r="C52" s="33"/>
      <c r="D52" s="27"/>
      <c r="E52" s="27"/>
      <c r="G52" s="26"/>
      <c r="H52" s="26"/>
      <c r="I52" s="26"/>
      <c r="J52" s="26"/>
      <c r="K52" s="26"/>
      <c r="L52" s="26"/>
      <c r="M52" s="26"/>
      <c r="N52" s="27"/>
    </row>
    <row r="53" spans="2:14" x14ac:dyDescent="0.2">
      <c r="B53" s="33"/>
      <c r="C53" s="33"/>
      <c r="D53" s="27"/>
      <c r="E53" s="27"/>
      <c r="G53" s="26"/>
      <c r="H53" s="26"/>
      <c r="I53" s="26"/>
      <c r="J53" s="26"/>
      <c r="K53" s="26"/>
      <c r="L53" s="26"/>
      <c r="M53" s="26"/>
      <c r="N53" s="27"/>
    </row>
    <row r="54" spans="2:14" x14ac:dyDescent="0.2">
      <c r="B54" s="33"/>
      <c r="C54" s="33"/>
      <c r="D54" s="27"/>
      <c r="E54" s="27"/>
      <c r="G54" s="26"/>
      <c r="H54" s="26"/>
      <c r="I54" s="26"/>
      <c r="J54" s="26"/>
      <c r="K54" s="26"/>
      <c r="L54" s="26"/>
      <c r="M54" s="26"/>
      <c r="N54" s="27"/>
    </row>
    <row r="55" spans="2:14" x14ac:dyDescent="0.2">
      <c r="B55" s="33"/>
      <c r="C55" s="33"/>
      <c r="D55" s="27"/>
      <c r="E55" s="27"/>
      <c r="G55" s="26"/>
      <c r="H55" s="26"/>
      <c r="I55" s="26"/>
      <c r="J55" s="26"/>
      <c r="K55" s="26"/>
      <c r="L55" s="26"/>
      <c r="M55" s="26"/>
      <c r="N55" s="27"/>
    </row>
    <row r="56" spans="2:14" x14ac:dyDescent="0.2">
      <c r="B56" s="33"/>
      <c r="C56" s="33"/>
      <c r="D56" s="27"/>
      <c r="E56" s="27"/>
      <c r="G56" s="26"/>
      <c r="H56" s="26"/>
      <c r="I56" s="26"/>
      <c r="J56" s="26"/>
      <c r="K56" s="26"/>
      <c r="L56" s="26"/>
      <c r="M56" s="26"/>
      <c r="N56" s="27"/>
    </row>
    <row r="57" spans="2:14" x14ac:dyDescent="0.2">
      <c r="B57" s="33"/>
      <c r="C57" s="33"/>
      <c r="D57" s="27"/>
      <c r="E57" s="27"/>
      <c r="G57" s="26"/>
      <c r="H57" s="26"/>
      <c r="I57" s="26"/>
      <c r="J57" s="26"/>
      <c r="K57" s="26"/>
      <c r="L57" s="26"/>
      <c r="M57" s="26"/>
      <c r="N57" s="27"/>
    </row>
    <row r="58" spans="2:14" x14ac:dyDescent="0.2">
      <c r="B58" s="33"/>
      <c r="C58" s="33"/>
      <c r="D58" s="27"/>
      <c r="E58" s="27"/>
      <c r="G58" s="26"/>
      <c r="H58" s="26"/>
      <c r="I58" s="26"/>
      <c r="J58" s="26"/>
      <c r="K58" s="26"/>
      <c r="L58" s="26"/>
      <c r="M58" s="26"/>
      <c r="N58" s="27"/>
    </row>
    <row r="59" spans="2:14" x14ac:dyDescent="0.2">
      <c r="B59" s="33"/>
      <c r="C59" s="33"/>
      <c r="D59" s="27"/>
      <c r="E59" s="27"/>
      <c r="G59" s="26"/>
      <c r="H59" s="26"/>
      <c r="I59" s="26"/>
      <c r="J59" s="26"/>
      <c r="K59" s="26"/>
      <c r="L59" s="26"/>
      <c r="M59" s="26"/>
      <c r="N59" s="27"/>
    </row>
    <row r="60" spans="2:14" x14ac:dyDescent="0.2">
      <c r="B60" s="33"/>
      <c r="C60" s="33"/>
      <c r="D60" s="27"/>
      <c r="E60" s="27"/>
      <c r="G60" s="26"/>
      <c r="H60" s="26"/>
      <c r="I60" s="26"/>
      <c r="J60" s="26"/>
      <c r="K60" s="26"/>
      <c r="L60" s="26"/>
      <c r="M60" s="26"/>
      <c r="N60" s="27"/>
    </row>
    <row r="61" spans="2:14" x14ac:dyDescent="0.2">
      <c r="B61" s="33"/>
      <c r="C61" s="33"/>
      <c r="D61" s="27"/>
      <c r="E61" s="27"/>
      <c r="G61" s="26"/>
      <c r="H61" s="26"/>
      <c r="I61" s="26"/>
      <c r="J61" s="26"/>
      <c r="K61" s="26"/>
      <c r="L61" s="26"/>
      <c r="M61" s="26"/>
      <c r="N61" s="27"/>
    </row>
    <row r="62" spans="2:14" x14ac:dyDescent="0.2">
      <c r="B62" s="33"/>
      <c r="C62" s="33"/>
      <c r="D62" s="27"/>
      <c r="E62" s="27"/>
      <c r="G62" s="26"/>
      <c r="H62" s="26"/>
      <c r="I62" s="26"/>
      <c r="J62" s="26"/>
      <c r="K62" s="26"/>
      <c r="L62" s="26"/>
      <c r="M62" s="26"/>
      <c r="N62" s="27"/>
    </row>
    <row r="63" spans="2:14" x14ac:dyDescent="0.2">
      <c r="B63" s="33"/>
      <c r="C63" s="33"/>
      <c r="D63" s="27"/>
      <c r="E63" s="27"/>
      <c r="G63" s="26"/>
      <c r="H63" s="26"/>
      <c r="I63" s="26"/>
      <c r="J63" s="26"/>
      <c r="K63" s="26"/>
      <c r="L63" s="26"/>
      <c r="M63" s="26"/>
      <c r="N63" s="27"/>
    </row>
    <row r="64" spans="2:14" x14ac:dyDescent="0.2">
      <c r="B64" s="33"/>
      <c r="C64" s="33"/>
      <c r="D64" s="27"/>
      <c r="E64" s="27"/>
      <c r="G64" s="26"/>
      <c r="H64" s="26"/>
      <c r="I64" s="26"/>
      <c r="J64" s="26"/>
      <c r="K64" s="26"/>
      <c r="L64" s="26"/>
      <c r="M64" s="26"/>
      <c r="N64" s="27"/>
    </row>
    <row r="65" spans="2:14" x14ac:dyDescent="0.2">
      <c r="B65" s="33"/>
      <c r="C65" s="33"/>
      <c r="D65" s="27"/>
      <c r="E65" s="27"/>
      <c r="G65" s="26"/>
      <c r="H65" s="26"/>
      <c r="I65" s="26"/>
      <c r="J65" s="26"/>
      <c r="K65" s="26"/>
      <c r="L65" s="26"/>
      <c r="M65" s="26"/>
      <c r="N65" s="27"/>
    </row>
    <row r="66" spans="2:14" x14ac:dyDescent="0.2">
      <c r="B66" s="33"/>
      <c r="C66" s="33"/>
      <c r="D66" s="27"/>
      <c r="E66" s="27"/>
      <c r="G66" s="26"/>
      <c r="H66" s="26"/>
      <c r="I66" s="26"/>
      <c r="J66" s="26"/>
      <c r="K66" s="26"/>
      <c r="L66" s="26"/>
      <c r="M66" s="26"/>
      <c r="N66" s="27"/>
    </row>
    <row r="67" spans="2:14" x14ac:dyDescent="0.2">
      <c r="B67" s="33"/>
      <c r="C67" s="33"/>
      <c r="D67" s="27"/>
      <c r="E67" s="27"/>
      <c r="G67" s="26"/>
      <c r="H67" s="26"/>
      <c r="I67" s="26"/>
      <c r="J67" s="26"/>
      <c r="K67" s="26"/>
      <c r="L67" s="26"/>
      <c r="M67" s="26"/>
      <c r="N67" s="27"/>
    </row>
    <row r="68" spans="2:14" x14ac:dyDescent="0.2">
      <c r="B68" s="33"/>
      <c r="C68" s="33"/>
      <c r="D68" s="27"/>
      <c r="E68" s="27"/>
      <c r="G68" s="26"/>
      <c r="H68" s="26"/>
      <c r="I68" s="26"/>
      <c r="J68" s="26"/>
      <c r="K68" s="26"/>
      <c r="L68" s="26"/>
      <c r="M68" s="26"/>
      <c r="N68" s="27"/>
    </row>
    <row r="69" spans="2:14" x14ac:dyDescent="0.2">
      <c r="B69" s="33"/>
      <c r="C69" s="33"/>
      <c r="D69" s="27"/>
      <c r="E69" s="27"/>
      <c r="G69" s="26"/>
      <c r="H69" s="26"/>
      <c r="I69" s="26"/>
      <c r="J69" s="26"/>
      <c r="K69" s="26"/>
      <c r="L69" s="26"/>
      <c r="M69" s="26"/>
      <c r="N69" s="27"/>
    </row>
    <row r="70" spans="2:14" x14ac:dyDescent="0.2">
      <c r="B70" s="33"/>
      <c r="C70" s="33"/>
      <c r="D70" s="27"/>
      <c r="E70" s="27"/>
      <c r="G70" s="26"/>
      <c r="H70" s="26"/>
      <c r="I70" s="26"/>
      <c r="J70" s="26"/>
      <c r="K70" s="26"/>
      <c r="L70" s="26"/>
      <c r="M70" s="26"/>
      <c r="N70" s="27"/>
    </row>
    <row r="71" spans="2:14" x14ac:dyDescent="0.2">
      <c r="B71" s="33"/>
      <c r="C71" s="33"/>
      <c r="D71" s="27"/>
      <c r="E71" s="27"/>
      <c r="G71" s="26"/>
      <c r="H71" s="26"/>
      <c r="I71" s="26"/>
      <c r="J71" s="26"/>
      <c r="K71" s="26"/>
      <c r="L71" s="26"/>
      <c r="M71" s="26"/>
      <c r="N71" s="27"/>
    </row>
    <row r="72" spans="2:14" x14ac:dyDescent="0.2">
      <c r="B72" s="33"/>
      <c r="C72" s="33"/>
      <c r="D72" s="27"/>
      <c r="E72" s="27"/>
      <c r="G72" s="26"/>
      <c r="H72" s="26"/>
      <c r="I72" s="26"/>
      <c r="J72" s="26"/>
      <c r="K72" s="26"/>
      <c r="L72" s="26"/>
      <c r="M72" s="26"/>
      <c r="N72" s="27"/>
    </row>
    <row r="73" spans="2:14" x14ac:dyDescent="0.2">
      <c r="B73" s="33"/>
      <c r="C73" s="33"/>
      <c r="D73" s="27"/>
      <c r="E73" s="27"/>
      <c r="G73" s="26"/>
      <c r="H73" s="26"/>
      <c r="I73" s="26"/>
      <c r="J73" s="26"/>
      <c r="K73" s="26"/>
      <c r="L73" s="26"/>
      <c r="M73" s="26"/>
      <c r="N73" s="27"/>
    </row>
    <row r="74" spans="2:14" x14ac:dyDescent="0.2">
      <c r="B74" s="33"/>
      <c r="C74" s="33"/>
      <c r="D74" s="27"/>
      <c r="E74" s="27"/>
      <c r="G74" s="26"/>
      <c r="H74" s="26"/>
      <c r="I74" s="26"/>
      <c r="J74" s="26"/>
      <c r="K74" s="26"/>
      <c r="L74" s="26"/>
      <c r="M74" s="26"/>
      <c r="N74" s="27"/>
    </row>
    <row r="75" spans="2:14" x14ac:dyDescent="0.2">
      <c r="B75" s="33"/>
      <c r="C75" s="33"/>
      <c r="D75" s="27"/>
      <c r="E75" s="27"/>
      <c r="G75" s="26"/>
      <c r="H75" s="26"/>
      <c r="I75" s="26"/>
      <c r="J75" s="26"/>
      <c r="K75" s="26"/>
      <c r="L75" s="26"/>
      <c r="M75" s="26"/>
      <c r="N75" s="27"/>
    </row>
    <row r="76" spans="2:14" x14ac:dyDescent="0.2">
      <c r="B76" s="33"/>
      <c r="C76" s="33"/>
      <c r="D76" s="27"/>
      <c r="E76" s="27"/>
      <c r="G76" s="26"/>
      <c r="H76" s="26"/>
      <c r="I76" s="26"/>
      <c r="J76" s="26"/>
      <c r="K76" s="26"/>
      <c r="L76" s="26"/>
      <c r="M76" s="26"/>
      <c r="N76" s="27"/>
    </row>
    <row r="77" spans="2:14" x14ac:dyDescent="0.2">
      <c r="B77" s="33"/>
      <c r="C77" s="33"/>
      <c r="D77" s="27"/>
      <c r="E77" s="27"/>
      <c r="G77" s="26"/>
      <c r="H77" s="26"/>
      <c r="I77" s="26"/>
      <c r="J77" s="26"/>
      <c r="K77" s="26"/>
      <c r="L77" s="26"/>
      <c r="M77" s="26"/>
      <c r="N77" s="27"/>
    </row>
    <row r="78" spans="2:14" x14ac:dyDescent="0.2">
      <c r="B78" s="33"/>
      <c r="C78" s="33"/>
      <c r="D78" s="27"/>
      <c r="E78" s="27"/>
      <c r="G78" s="26"/>
      <c r="H78" s="26"/>
      <c r="I78" s="26"/>
      <c r="J78" s="26"/>
      <c r="K78" s="26"/>
      <c r="L78" s="26"/>
      <c r="M78" s="26"/>
      <c r="N78" s="27"/>
    </row>
    <row r="79" spans="2:14" x14ac:dyDescent="0.2">
      <c r="B79" s="33"/>
      <c r="C79" s="33"/>
      <c r="D79" s="27"/>
      <c r="E79" s="27"/>
      <c r="G79" s="26"/>
      <c r="H79" s="26"/>
      <c r="I79" s="26"/>
      <c r="J79" s="26"/>
      <c r="K79" s="26"/>
      <c r="L79" s="26"/>
      <c r="M79" s="26"/>
      <c r="N79" s="27"/>
    </row>
    <row r="80" spans="2:14" x14ac:dyDescent="0.2">
      <c r="B80" s="33"/>
      <c r="C80" s="33"/>
      <c r="D80" s="27"/>
      <c r="E80" s="27"/>
      <c r="G80" s="26"/>
      <c r="H80" s="26"/>
      <c r="I80" s="26"/>
      <c r="J80" s="26"/>
      <c r="K80" s="26"/>
      <c r="L80" s="26"/>
      <c r="M80" s="26"/>
      <c r="N80" s="27"/>
    </row>
    <row r="81" spans="1:20" x14ac:dyDescent="0.2">
      <c r="B81" s="33"/>
      <c r="C81" s="33"/>
      <c r="D81" s="27"/>
      <c r="E81" s="27"/>
      <c r="G81" s="26"/>
      <c r="H81" s="26"/>
      <c r="I81" s="26"/>
      <c r="J81" s="26"/>
      <c r="K81" s="26"/>
      <c r="L81" s="26"/>
      <c r="M81" s="26"/>
      <c r="N81" s="27"/>
    </row>
    <row r="82" spans="1:20" x14ac:dyDescent="0.2">
      <c r="B82" s="33"/>
      <c r="C82" s="33"/>
      <c r="D82" s="27"/>
      <c r="E82" s="27"/>
      <c r="G82" s="26"/>
      <c r="H82" s="26"/>
      <c r="I82" s="26"/>
      <c r="J82" s="26"/>
      <c r="K82" s="26"/>
      <c r="L82" s="26"/>
      <c r="M82" s="26"/>
      <c r="N82" s="27"/>
    </row>
    <row r="83" spans="1:20" x14ac:dyDescent="0.2">
      <c r="B83" s="33"/>
      <c r="C83" s="33"/>
      <c r="D83" s="27"/>
      <c r="E83" s="27"/>
      <c r="G83" s="26"/>
      <c r="H83" s="26"/>
      <c r="I83" s="26"/>
      <c r="J83" s="26"/>
      <c r="K83" s="26"/>
      <c r="L83" s="26"/>
      <c r="M83" s="26"/>
      <c r="N83" s="27"/>
    </row>
    <row r="84" spans="1:20" x14ac:dyDescent="0.2">
      <c r="B84" s="33"/>
      <c r="C84" s="33"/>
      <c r="D84" s="27"/>
      <c r="E84" s="27"/>
      <c r="G84" s="26"/>
      <c r="H84" s="26"/>
      <c r="I84" s="26"/>
      <c r="J84" s="26"/>
      <c r="K84" s="26"/>
      <c r="L84" s="26"/>
      <c r="M84" s="26"/>
      <c r="N84" s="27"/>
    </row>
    <row r="85" spans="1:20" x14ac:dyDescent="0.2">
      <c r="B85" s="33"/>
      <c r="C85" s="33"/>
      <c r="D85" s="27"/>
      <c r="E85" s="27"/>
      <c r="G85" s="26"/>
      <c r="H85" s="26"/>
      <c r="I85" s="26"/>
      <c r="J85" s="26"/>
      <c r="K85" s="26"/>
      <c r="L85" s="26"/>
      <c r="M85" s="26"/>
      <c r="N85" s="27"/>
    </row>
    <row r="86" spans="1:20" x14ac:dyDescent="0.2">
      <c r="B86" s="33"/>
      <c r="C86" s="33"/>
      <c r="D86" s="27"/>
      <c r="E86" s="27"/>
      <c r="G86" s="26"/>
      <c r="H86" s="26"/>
      <c r="I86" s="26"/>
      <c r="J86" s="26"/>
      <c r="K86" s="26"/>
      <c r="L86" s="26"/>
      <c r="M86" s="26"/>
      <c r="N86" s="27"/>
    </row>
    <row r="87" spans="1:20" x14ac:dyDescent="0.2">
      <c r="B87" s="33"/>
      <c r="C87" s="33"/>
      <c r="D87" s="27"/>
      <c r="E87" s="27"/>
      <c r="G87" s="26"/>
      <c r="H87" s="26"/>
      <c r="I87" s="26"/>
      <c r="J87" s="26"/>
      <c r="K87" s="26"/>
      <c r="L87" s="26"/>
      <c r="M87" s="26"/>
      <c r="N87" s="27"/>
    </row>
    <row r="88" spans="1:20" x14ac:dyDescent="0.2">
      <c r="B88" s="33"/>
      <c r="C88" s="33"/>
      <c r="D88" s="27"/>
      <c r="E88" s="27"/>
      <c r="G88" s="26"/>
      <c r="H88" s="26"/>
      <c r="I88" s="26"/>
      <c r="J88" s="26"/>
      <c r="K88" s="26"/>
      <c r="L88" s="26"/>
      <c r="M88" s="26"/>
      <c r="N88" s="27"/>
    </row>
    <row r="89" spans="1:20" x14ac:dyDescent="0.2">
      <c r="B89" s="33"/>
      <c r="C89" s="33"/>
      <c r="D89" s="27"/>
      <c r="E89" s="27"/>
      <c r="G89" s="26"/>
      <c r="H89" s="26"/>
      <c r="I89" s="26"/>
      <c r="J89" s="26"/>
      <c r="K89" s="26"/>
      <c r="L89" s="26"/>
      <c r="M89" s="26"/>
      <c r="N89" s="27"/>
    </row>
    <row r="90" spans="1:20" ht="12" x14ac:dyDescent="0.2">
      <c r="A90" s="34" t="s">
        <v>0</v>
      </c>
      <c r="B90" s="34"/>
      <c r="C90" s="34"/>
      <c r="D90" s="34"/>
      <c r="E90" s="34"/>
      <c r="F90" s="34"/>
      <c r="G90" s="34"/>
      <c r="H90" s="34"/>
      <c r="I90" s="34"/>
      <c r="J90" s="2"/>
      <c r="K90" s="2"/>
      <c r="L90" s="2"/>
      <c r="M90" s="2"/>
      <c r="N90" s="2"/>
    </row>
    <row r="91" spans="1:20" ht="12" x14ac:dyDescent="0.2">
      <c r="A91" s="34" t="s">
        <v>1</v>
      </c>
      <c r="B91" s="34"/>
      <c r="C91" s="34"/>
      <c r="D91" s="34"/>
      <c r="E91" s="34"/>
      <c r="F91" s="34"/>
      <c r="G91" s="34"/>
      <c r="H91" s="34"/>
      <c r="I91" s="34"/>
      <c r="J91" s="2"/>
      <c r="K91" s="2"/>
      <c r="L91" s="2"/>
      <c r="M91" s="2"/>
      <c r="N91" s="2"/>
    </row>
    <row r="92" spans="1:20" ht="12" customHeight="1" x14ac:dyDescent="0.2">
      <c r="A92" s="35" t="s">
        <v>2</v>
      </c>
      <c r="B92" s="35"/>
      <c r="C92" s="35"/>
      <c r="D92" s="35"/>
      <c r="E92" s="35"/>
      <c r="F92" s="35"/>
      <c r="G92" s="35"/>
      <c r="H92" s="35"/>
      <c r="I92" s="35"/>
      <c r="J92" s="6"/>
      <c r="K92" s="6"/>
      <c r="L92" s="6"/>
      <c r="M92" s="6"/>
      <c r="N92" s="6"/>
    </row>
    <row r="93" spans="1:20" ht="12" x14ac:dyDescent="0.2">
      <c r="A93" s="36"/>
      <c r="B93" s="37"/>
      <c r="C93" s="37"/>
      <c r="D93" s="38"/>
      <c r="E93" s="39"/>
      <c r="F93" s="38"/>
      <c r="G93" s="37"/>
      <c r="H93" s="40"/>
      <c r="I93" s="41"/>
      <c r="J93" s="42"/>
      <c r="K93" s="42"/>
      <c r="L93" s="42"/>
      <c r="M93" s="42"/>
      <c r="N93" s="43"/>
    </row>
    <row r="94" spans="1:20" ht="12" x14ac:dyDescent="0.2">
      <c r="A94" s="39"/>
      <c r="B94" s="37"/>
      <c r="C94" s="37"/>
      <c r="D94" s="38"/>
      <c r="E94" s="39"/>
      <c r="F94" s="38"/>
      <c r="G94" s="37"/>
      <c r="H94" s="40"/>
      <c r="I94" s="41"/>
      <c r="J94" s="42"/>
      <c r="K94" s="42"/>
      <c r="L94" s="42"/>
      <c r="M94" s="42"/>
      <c r="N94" s="43"/>
    </row>
    <row r="95" spans="1:20" ht="12" x14ac:dyDescent="0.2">
      <c r="A95" s="39"/>
      <c r="B95" s="39"/>
      <c r="C95" s="38"/>
      <c r="D95" s="39"/>
      <c r="E95" s="38"/>
      <c r="F95" s="40" t="s">
        <v>39</v>
      </c>
      <c r="G95" s="40" t="s">
        <v>39</v>
      </c>
      <c r="H95" s="44"/>
      <c r="I95" s="41"/>
      <c r="J95" s="43"/>
      <c r="K95" s="43"/>
      <c r="L95" s="43"/>
      <c r="M95" s="43"/>
      <c r="S95" s="4"/>
      <c r="T95" s="3"/>
    </row>
    <row r="96" spans="1:20" ht="12" x14ac:dyDescent="0.2">
      <c r="A96" s="40"/>
      <c r="B96" s="40" t="s">
        <v>40</v>
      </c>
      <c r="C96" s="40"/>
      <c r="D96" s="40"/>
      <c r="E96" s="40"/>
      <c r="F96" s="40" t="s">
        <v>41</v>
      </c>
      <c r="G96" s="40" t="s">
        <v>41</v>
      </c>
      <c r="H96" s="44"/>
      <c r="I96" s="45"/>
      <c r="J96" s="46"/>
      <c r="K96" s="46"/>
      <c r="L96" s="46"/>
      <c r="M96" s="43"/>
      <c r="S96" s="4"/>
      <c r="T96" s="3"/>
    </row>
    <row r="97" spans="1:20" ht="12" x14ac:dyDescent="0.2">
      <c r="A97" s="47" t="s">
        <v>42</v>
      </c>
      <c r="B97" s="44" t="s">
        <v>43</v>
      </c>
      <c r="C97" s="44" t="s">
        <v>44</v>
      </c>
      <c r="D97" s="48" t="s">
        <v>45</v>
      </c>
      <c r="E97" s="44" t="s">
        <v>46</v>
      </c>
      <c r="F97" s="44" t="s">
        <v>47</v>
      </c>
      <c r="G97" s="44" t="s">
        <v>48</v>
      </c>
      <c r="H97" s="44"/>
      <c r="I97" s="49"/>
      <c r="J97" s="29"/>
      <c r="K97" s="29" t="s">
        <v>49</v>
      </c>
      <c r="L97" s="29" t="s">
        <v>50</v>
      </c>
      <c r="M97" s="29" t="s">
        <v>51</v>
      </c>
      <c r="S97" s="4"/>
      <c r="T97" s="3"/>
    </row>
    <row r="98" spans="1:20" ht="12" x14ac:dyDescent="0.2">
      <c r="A98" s="50" t="s">
        <v>52</v>
      </c>
      <c r="B98" s="51"/>
      <c r="C98" s="51"/>
      <c r="D98" s="52"/>
      <c r="E98" s="53"/>
      <c r="F98" s="52"/>
      <c r="G98" s="52"/>
      <c r="H98" s="44"/>
      <c r="I98" s="54"/>
      <c r="J98" s="46"/>
      <c r="K98" s="46"/>
      <c r="L98" s="46"/>
      <c r="M98" s="43"/>
      <c r="S98" s="4"/>
      <c r="T98" s="3"/>
    </row>
    <row r="99" spans="1:20" ht="12" x14ac:dyDescent="0.2">
      <c r="A99" s="55" t="s">
        <v>53</v>
      </c>
      <c r="B99" s="56">
        <v>17330693.699999992</v>
      </c>
      <c r="C99" s="56">
        <f>5972887.77+M99</f>
        <v>6132197.97000001</v>
      </c>
      <c r="D99" s="56">
        <v>5766687.4100000001</v>
      </c>
      <c r="E99" s="56">
        <f>B99+C99-D99</f>
        <v>17696204.260000002</v>
      </c>
      <c r="F99" s="56">
        <f>E99-B99</f>
        <v>365510.56000000983</v>
      </c>
      <c r="G99" s="57">
        <f>F99/B99</f>
        <v>2.1090359470146886E-2</v>
      </c>
      <c r="H99" s="44"/>
      <c r="I99" s="29"/>
      <c r="J99" s="29"/>
      <c r="K99" s="29">
        <v>17696204.260000002</v>
      </c>
      <c r="L99" s="29">
        <v>17536894.059999991</v>
      </c>
      <c r="M99" s="29">
        <f>K99-L99</f>
        <v>159310.20000001043</v>
      </c>
      <c r="N99" s="43" t="s">
        <v>54</v>
      </c>
      <c r="O99" s="43"/>
      <c r="P99" s="58" t="s">
        <v>40</v>
      </c>
    </row>
    <row r="100" spans="1:20" ht="12" x14ac:dyDescent="0.2">
      <c r="A100" s="59" t="s">
        <v>55</v>
      </c>
      <c r="B100" s="60"/>
      <c r="C100" s="60"/>
      <c r="D100" s="60"/>
      <c r="E100" s="61"/>
      <c r="F100" s="60"/>
      <c r="G100" s="62"/>
      <c r="H100" s="63"/>
      <c r="I100" s="64"/>
      <c r="J100" s="65"/>
      <c r="K100" s="65"/>
      <c r="L100" s="65"/>
      <c r="M100" s="29"/>
      <c r="N100" s="66" t="s">
        <v>53</v>
      </c>
      <c r="O100" s="66" t="str">
        <f>+N100&amp;" "&amp;TEXT(Q100,"0%")</f>
        <v>GENERAL FUND 29%</v>
      </c>
      <c r="P100" s="15">
        <f>+E99</f>
        <v>17696204.260000002</v>
      </c>
      <c r="Q100" s="18">
        <f t="shared" ref="Q100:Q107" si="2">P100/$P$108</f>
        <v>0.28622948961377281</v>
      </c>
    </row>
    <row r="101" spans="1:20" ht="12" x14ac:dyDescent="0.2">
      <c r="A101" s="67" t="s">
        <v>56</v>
      </c>
      <c r="B101" s="60">
        <v>453637.94</v>
      </c>
      <c r="C101" s="60">
        <v>0</v>
      </c>
      <c r="D101" s="68">
        <v>2475</v>
      </c>
      <c r="E101" s="60">
        <f>B101+C101-D101</f>
        <v>451162.94</v>
      </c>
      <c r="F101" s="60">
        <f>E101-B101</f>
        <v>-2475</v>
      </c>
      <c r="G101" s="62">
        <f>F101/B101</f>
        <v>-5.4558928646929314E-3</v>
      </c>
      <c r="H101" s="63"/>
      <c r="I101" s="17"/>
      <c r="J101" s="65"/>
      <c r="K101" s="65">
        <v>451162.94</v>
      </c>
      <c r="L101" s="65">
        <v>451162.94</v>
      </c>
      <c r="M101" s="29">
        <f t="shared" ref="M101:M140" si="3">K101-L101</f>
        <v>0</v>
      </c>
      <c r="N101" s="66" t="s">
        <v>57</v>
      </c>
      <c r="O101" s="66" t="str">
        <f t="shared" ref="O101:O107" si="4">+N101&amp;" "&amp;TEXT(Q101,"0%")</f>
        <v>CIP 40%</v>
      </c>
      <c r="P101" s="15">
        <f>+E102</f>
        <v>24788610.23</v>
      </c>
      <c r="Q101" s="18">
        <f t="shared" si="2"/>
        <v>0.40094650525737363</v>
      </c>
    </row>
    <row r="102" spans="1:20" ht="12" x14ac:dyDescent="0.2">
      <c r="A102" s="67" t="s">
        <v>57</v>
      </c>
      <c r="B102" s="60">
        <v>24836546.389999997</v>
      </c>
      <c r="C102" s="60">
        <v>0</v>
      </c>
      <c r="D102" s="69">
        <f>37995.04-M102</f>
        <v>47936.159999997319</v>
      </c>
      <c r="E102" s="60">
        <f>B102+C102-D102</f>
        <v>24788610.23</v>
      </c>
      <c r="F102" s="60">
        <f>E102-B102</f>
        <v>-47936.159999996424</v>
      </c>
      <c r="G102" s="62">
        <f>F102/B102</f>
        <v>-1.9300654465911203E-3</v>
      </c>
      <c r="H102" s="63"/>
      <c r="I102" s="17"/>
      <c r="J102" s="65"/>
      <c r="K102" s="65">
        <v>24788610.23</v>
      </c>
      <c r="L102" s="65">
        <v>24798551.349999998</v>
      </c>
      <c r="M102" s="29">
        <f t="shared" si="3"/>
        <v>-9941.1199999973178</v>
      </c>
      <c r="N102" s="66" t="s">
        <v>58</v>
      </c>
      <c r="O102" s="66" t="str">
        <f t="shared" si="4"/>
        <v>EQUIPMENT REPLACEMENT 4%</v>
      </c>
      <c r="P102" s="15">
        <f>+E103</f>
        <v>2532757.1</v>
      </c>
      <c r="Q102" s="18">
        <f t="shared" si="2"/>
        <v>4.0966399426532123E-2</v>
      </c>
    </row>
    <row r="103" spans="1:20" ht="12" x14ac:dyDescent="0.2">
      <c r="A103" s="67" t="s">
        <v>58</v>
      </c>
      <c r="B103" s="60">
        <v>2487396.8899999997</v>
      </c>
      <c r="C103" s="60">
        <f>M103</f>
        <v>45403.000000000466</v>
      </c>
      <c r="D103" s="70">
        <v>42.79</v>
      </c>
      <c r="E103" s="60">
        <f>B103+C103-D103</f>
        <v>2532757.1</v>
      </c>
      <c r="F103" s="60">
        <f>E103-B103</f>
        <v>45360.210000000428</v>
      </c>
      <c r="G103" s="62">
        <f>F103/B103</f>
        <v>1.8236016207289072E-2</v>
      </c>
      <c r="H103" s="63"/>
      <c r="I103" s="17"/>
      <c r="J103" s="65"/>
      <c r="K103" s="65">
        <v>2532757.1</v>
      </c>
      <c r="L103" s="65">
        <v>2487354.0999999996</v>
      </c>
      <c r="M103" s="29">
        <f t="shared" si="3"/>
        <v>45403.000000000466</v>
      </c>
      <c r="N103" s="71" t="s">
        <v>59</v>
      </c>
      <c r="O103" s="66" t="str">
        <f t="shared" si="4"/>
        <v>1911 ACT 3%</v>
      </c>
      <c r="P103" s="15">
        <f>+E113</f>
        <v>2086569.3</v>
      </c>
      <c r="Q103" s="18">
        <f t="shared" si="2"/>
        <v>3.3749478532678692E-2</v>
      </c>
    </row>
    <row r="104" spans="1:20" ht="12" x14ac:dyDescent="0.2">
      <c r="A104" s="67" t="s">
        <v>60</v>
      </c>
      <c r="B104" s="60">
        <v>0</v>
      </c>
      <c r="C104" s="60">
        <v>0</v>
      </c>
      <c r="D104" s="70">
        <v>0</v>
      </c>
      <c r="E104" s="60">
        <f>B104+C104-D104</f>
        <v>0</v>
      </c>
      <c r="F104" s="60">
        <f>E104-B104</f>
        <v>0</v>
      </c>
      <c r="G104" s="62">
        <v>0</v>
      </c>
      <c r="H104" s="63"/>
      <c r="I104" s="17"/>
      <c r="J104" s="65"/>
      <c r="K104" s="65">
        <v>0</v>
      </c>
      <c r="L104" s="65">
        <v>0</v>
      </c>
      <c r="M104" s="29">
        <f t="shared" si="3"/>
        <v>0</v>
      </c>
      <c r="N104" s="71" t="s">
        <v>61</v>
      </c>
      <c r="O104" s="66" t="str">
        <f t="shared" si="4"/>
        <v>HABITAT RESTORATION 2%</v>
      </c>
      <c r="P104" s="15">
        <f>+E121</f>
        <v>1033279.9099999997</v>
      </c>
      <c r="Q104" s="18">
        <f t="shared" si="2"/>
        <v>1.671291633630053E-2</v>
      </c>
    </row>
    <row r="105" spans="1:20" ht="12" x14ac:dyDescent="0.2">
      <c r="A105" s="72" t="s">
        <v>62</v>
      </c>
      <c r="B105" s="60">
        <v>2294.16</v>
      </c>
      <c r="C105" s="60">
        <v>0</v>
      </c>
      <c r="D105" s="70">
        <f>-M105</f>
        <v>3071.06</v>
      </c>
      <c r="E105" s="60">
        <f>B105+C105-D105</f>
        <v>-776.90000000000009</v>
      </c>
      <c r="F105" s="60">
        <f>E105-B105</f>
        <v>-3071.06</v>
      </c>
      <c r="G105" s="62">
        <f>F105/B105</f>
        <v>-1.3386424660878056</v>
      </c>
      <c r="H105" s="63"/>
      <c r="I105" s="17"/>
      <c r="J105" s="65"/>
      <c r="K105" s="65">
        <v>-776.9</v>
      </c>
      <c r="L105" s="65">
        <v>2294.16</v>
      </c>
      <c r="M105" s="29">
        <f t="shared" si="3"/>
        <v>-3071.06</v>
      </c>
      <c r="N105" s="71" t="s">
        <v>63</v>
      </c>
      <c r="O105" s="66" t="str">
        <f t="shared" si="4"/>
        <v>QUIMBY 2%</v>
      </c>
      <c r="P105" s="15">
        <f>+E129</f>
        <v>1306907.3799999999</v>
      </c>
      <c r="Q105" s="18">
        <f t="shared" si="2"/>
        <v>2.1138738390097729E-2</v>
      </c>
    </row>
    <row r="106" spans="1:20" ht="12" x14ac:dyDescent="0.2">
      <c r="A106" s="55" t="s">
        <v>64</v>
      </c>
      <c r="B106" s="56">
        <f>SUM(B101:B105)</f>
        <v>27779875.379999999</v>
      </c>
      <c r="C106" s="56">
        <f>SUM(C101:C105)</f>
        <v>45403.000000000466</v>
      </c>
      <c r="D106" s="56">
        <f>SUM(D101:D105)</f>
        <v>53525.009999997317</v>
      </c>
      <c r="E106" s="56">
        <f>SUM(E101:E105)</f>
        <v>27771753.370000005</v>
      </c>
      <c r="F106" s="56">
        <f>SUM(F101:F105)</f>
        <v>-8122.0099999959948</v>
      </c>
      <c r="G106" s="57">
        <f>F106/B106</f>
        <v>-2.9237028204393602E-4</v>
      </c>
      <c r="H106" s="44"/>
      <c r="I106" s="64"/>
      <c r="J106" s="65"/>
      <c r="K106" s="65"/>
      <c r="L106" s="65"/>
      <c r="M106" s="29"/>
      <c r="N106" s="71" t="s">
        <v>65</v>
      </c>
      <c r="O106" s="66" t="str">
        <f t="shared" si="4"/>
        <v>WATER QUALITY FLOOD PROTECTION 1%</v>
      </c>
      <c r="P106" s="15">
        <f>+E137</f>
        <v>548311.14999999944</v>
      </c>
      <c r="Q106" s="18">
        <f t="shared" si="2"/>
        <v>8.8687279095658825E-3</v>
      </c>
    </row>
    <row r="107" spans="1:20" s="25" customFormat="1" ht="12" x14ac:dyDescent="0.2">
      <c r="A107" s="59" t="s">
        <v>66</v>
      </c>
      <c r="B107" s="61"/>
      <c r="C107" s="61"/>
      <c r="D107" s="61"/>
      <c r="E107" s="61"/>
      <c r="F107" s="61"/>
      <c r="G107" s="73"/>
      <c r="H107" s="74"/>
      <c r="I107" s="64"/>
      <c r="J107" s="65"/>
      <c r="K107" s="65"/>
      <c r="L107" s="65"/>
      <c r="M107" s="29">
        <f t="shared" si="3"/>
        <v>0</v>
      </c>
      <c r="N107" s="66" t="s">
        <v>67</v>
      </c>
      <c r="O107" s="66" t="str">
        <f t="shared" si="4"/>
        <v>OTHER RESTRICTED FUNDS 19%</v>
      </c>
      <c r="P107" s="75">
        <f>+E144-P100-P101-P102-P103-P104-P105-P106</f>
        <v>11832591.479999997</v>
      </c>
      <c r="Q107" s="18">
        <f t="shared" si="2"/>
        <v>0.19138774453367863</v>
      </c>
      <c r="T107" s="76"/>
    </row>
    <row r="108" spans="1:20" ht="12" x14ac:dyDescent="0.2">
      <c r="A108" s="67" t="s">
        <v>68</v>
      </c>
      <c r="B108" s="60">
        <v>-148818.42999999979</v>
      </c>
      <c r="C108" s="60">
        <v>135647.35</v>
      </c>
      <c r="D108" s="60">
        <f>119890.68-M108</f>
        <v>207156.46000000022</v>
      </c>
      <c r="E108" s="60">
        <f>B108+C108-D108</f>
        <v>-220327.54</v>
      </c>
      <c r="F108" s="60">
        <f>E108-B108</f>
        <v>-71509.110000000219</v>
      </c>
      <c r="G108" s="62">
        <f>-F108/B108</f>
        <v>-0.48051246072143294</v>
      </c>
      <c r="H108" s="63"/>
      <c r="I108" s="17"/>
      <c r="J108" s="65"/>
      <c r="K108" s="65">
        <v>-220327.54</v>
      </c>
      <c r="L108" s="65">
        <v>-133061.75999999978</v>
      </c>
      <c r="M108" s="29">
        <f t="shared" si="3"/>
        <v>-87265.780000000232</v>
      </c>
      <c r="N108" s="77"/>
      <c r="O108" s="77"/>
      <c r="P108" s="15">
        <f>SUM(P100:P107)</f>
        <v>61825230.809999995</v>
      </c>
      <c r="Q108" s="18">
        <f>SUM(Q100:Q107)</f>
        <v>1</v>
      </c>
    </row>
    <row r="109" spans="1:20" ht="12" x14ac:dyDescent="0.2">
      <c r="A109" s="78" t="s">
        <v>69</v>
      </c>
      <c r="B109" s="60">
        <v>26885.78000000001</v>
      </c>
      <c r="C109" s="60">
        <f>M109</f>
        <v>1981.5199999999895</v>
      </c>
      <c r="D109" s="60">
        <v>0</v>
      </c>
      <c r="E109" s="60">
        <f t="shared" ref="E109:E140" si="5">B109+C109-D109</f>
        <v>28867.3</v>
      </c>
      <c r="F109" s="60">
        <f t="shared" ref="F109:F140" si="6">E109-B109</f>
        <v>1981.5199999999895</v>
      </c>
      <c r="G109" s="62">
        <f t="shared" ref="G109:G140" si="7">F109/B109</f>
        <v>7.3701413907276955E-2</v>
      </c>
      <c r="H109" s="63"/>
      <c r="I109" s="17"/>
      <c r="J109" s="65"/>
      <c r="K109" s="65">
        <v>28867.3</v>
      </c>
      <c r="L109" s="65">
        <v>26885.78000000001</v>
      </c>
      <c r="M109" s="29">
        <f t="shared" si="3"/>
        <v>1981.5199999999895</v>
      </c>
      <c r="N109" s="77"/>
      <c r="S109" s="4"/>
      <c r="T109" s="3"/>
    </row>
    <row r="110" spans="1:20" ht="12" x14ac:dyDescent="0.2">
      <c r="A110" s="67" t="s">
        <v>70</v>
      </c>
      <c r="B110" s="60">
        <v>29808.589999999993</v>
      </c>
      <c r="C110" s="60">
        <v>98.99</v>
      </c>
      <c r="D110" s="60">
        <f>-M110</f>
        <v>64.899999999994179</v>
      </c>
      <c r="E110" s="60">
        <f t="shared" si="5"/>
        <v>29842.68</v>
      </c>
      <c r="F110" s="60">
        <f t="shared" si="6"/>
        <v>34.090000000007421</v>
      </c>
      <c r="G110" s="62">
        <f t="shared" si="7"/>
        <v>1.1436300744183951E-3</v>
      </c>
      <c r="H110" s="63"/>
      <c r="I110" s="17"/>
      <c r="J110" s="65"/>
      <c r="K110" s="65">
        <v>29842.68</v>
      </c>
      <c r="L110" s="65">
        <v>29907.579999999994</v>
      </c>
      <c r="M110" s="29">
        <f t="shared" si="3"/>
        <v>-64.899999999994179</v>
      </c>
      <c r="N110" s="77"/>
      <c r="S110" s="4"/>
      <c r="T110" s="3"/>
    </row>
    <row r="111" spans="1:20" ht="12" x14ac:dyDescent="0.2">
      <c r="A111" s="67" t="s">
        <v>71</v>
      </c>
      <c r="B111" s="60">
        <v>-55391.76</v>
      </c>
      <c r="C111" s="60">
        <v>27391</v>
      </c>
      <c r="D111" s="60">
        <f>-M111</f>
        <v>15480.869999999995</v>
      </c>
      <c r="E111" s="60">
        <f t="shared" si="5"/>
        <v>-43481.63</v>
      </c>
      <c r="F111" s="60">
        <f t="shared" si="6"/>
        <v>11910.130000000005</v>
      </c>
      <c r="G111" s="62">
        <f>-F111/B111</f>
        <v>0.21501627678918317</v>
      </c>
      <c r="H111" s="63"/>
      <c r="I111" s="17"/>
      <c r="J111" s="65"/>
      <c r="K111" s="65">
        <v>-43481.63</v>
      </c>
      <c r="L111" s="65">
        <v>-28000.760000000002</v>
      </c>
      <c r="M111" s="29">
        <f t="shared" si="3"/>
        <v>-15480.869999999995</v>
      </c>
      <c r="N111" s="77"/>
      <c r="O111" s="27"/>
      <c r="S111" s="4"/>
      <c r="T111" s="3"/>
    </row>
    <row r="112" spans="1:20" ht="12" x14ac:dyDescent="0.2">
      <c r="A112" s="79" t="s">
        <v>72</v>
      </c>
      <c r="B112" s="60">
        <v>0</v>
      </c>
      <c r="C112" s="60">
        <v>0</v>
      </c>
      <c r="D112" s="60">
        <v>0</v>
      </c>
      <c r="E112" s="60">
        <f t="shared" si="5"/>
        <v>0</v>
      </c>
      <c r="F112" s="60">
        <f t="shared" si="6"/>
        <v>0</v>
      </c>
      <c r="G112" s="62">
        <v>0</v>
      </c>
      <c r="H112" s="63"/>
      <c r="I112" s="17"/>
      <c r="J112" s="65"/>
      <c r="K112" s="65">
        <v>0</v>
      </c>
      <c r="L112" s="65">
        <v>0</v>
      </c>
      <c r="M112" s="29">
        <f t="shared" si="3"/>
        <v>0</v>
      </c>
      <c r="N112" s="77"/>
      <c r="S112" s="4"/>
      <c r="T112" s="3"/>
    </row>
    <row r="113" spans="1:20" ht="12" x14ac:dyDescent="0.2">
      <c r="A113" s="67" t="s">
        <v>59</v>
      </c>
      <c r="B113" s="60">
        <v>2108743.6900000013</v>
      </c>
      <c r="C113" s="60">
        <v>25465.599999999999</v>
      </c>
      <c r="D113" s="60">
        <f>39410.02-M113</f>
        <v>47639.990000001366</v>
      </c>
      <c r="E113" s="60">
        <f t="shared" si="5"/>
        <v>2086569.3</v>
      </c>
      <c r="F113" s="60">
        <f t="shared" si="6"/>
        <v>-22174.390000001295</v>
      </c>
      <c r="G113" s="62">
        <f t="shared" si="7"/>
        <v>-1.051545055245727E-2</v>
      </c>
      <c r="H113" s="63"/>
      <c r="I113" s="17"/>
      <c r="J113" s="65"/>
      <c r="K113" s="65">
        <v>2086569.3</v>
      </c>
      <c r="L113" s="65">
        <v>2094799.2700000014</v>
      </c>
      <c r="M113" s="29">
        <f t="shared" si="3"/>
        <v>-8229.970000001369</v>
      </c>
      <c r="N113" s="77"/>
      <c r="S113" s="4"/>
      <c r="T113" s="3"/>
    </row>
    <row r="114" spans="1:20" ht="12" x14ac:dyDescent="0.2">
      <c r="A114" s="67" t="s">
        <v>73</v>
      </c>
      <c r="B114" s="60">
        <v>439711.85000000003</v>
      </c>
      <c r="C114" s="60">
        <v>22092.29</v>
      </c>
      <c r="D114" s="60">
        <f>14818.68-M114</f>
        <v>15212.530000000035</v>
      </c>
      <c r="E114" s="60">
        <f t="shared" si="5"/>
        <v>446591.61</v>
      </c>
      <c r="F114" s="60">
        <f t="shared" si="6"/>
        <v>6879.7599999999511</v>
      </c>
      <c r="G114" s="62">
        <f t="shared" si="7"/>
        <v>1.5646064576153567E-2</v>
      </c>
      <c r="H114" s="63"/>
      <c r="I114" s="17"/>
      <c r="J114" s="65"/>
      <c r="K114" s="65">
        <v>446591.61</v>
      </c>
      <c r="L114" s="65">
        <v>446985.46</v>
      </c>
      <c r="M114" s="29">
        <f t="shared" si="3"/>
        <v>-393.85000000003492</v>
      </c>
      <c r="N114" s="77"/>
      <c r="S114" s="4"/>
      <c r="T114" s="3"/>
    </row>
    <row r="115" spans="1:20" ht="12" x14ac:dyDescent="0.2">
      <c r="A115" s="67" t="s">
        <v>74</v>
      </c>
      <c r="B115" s="60">
        <v>75496.399999999994</v>
      </c>
      <c r="C115" s="60">
        <v>14118.59</v>
      </c>
      <c r="D115" s="60">
        <v>25000</v>
      </c>
      <c r="E115" s="60">
        <f t="shared" si="5"/>
        <v>64614.989999999991</v>
      </c>
      <c r="F115" s="60">
        <f t="shared" si="6"/>
        <v>-10881.410000000003</v>
      </c>
      <c r="G115" s="62">
        <f t="shared" si="7"/>
        <v>-0.14413150825734744</v>
      </c>
      <c r="H115" s="63"/>
      <c r="I115" s="17"/>
      <c r="J115" s="65"/>
      <c r="K115" s="65">
        <v>64614.99</v>
      </c>
      <c r="L115" s="65">
        <v>64614.989999999991</v>
      </c>
      <c r="M115" s="29">
        <f t="shared" si="3"/>
        <v>0</v>
      </c>
      <c r="N115" s="10"/>
      <c r="O115" s="10"/>
      <c r="P115" s="11" t="s">
        <v>75</v>
      </c>
      <c r="Q115" s="11" t="s">
        <v>76</v>
      </c>
    </row>
    <row r="116" spans="1:20" ht="12.75" thickBot="1" x14ac:dyDescent="0.25">
      <c r="A116" s="67" t="s">
        <v>77</v>
      </c>
      <c r="B116" s="60">
        <v>543524.16999999993</v>
      </c>
      <c r="C116" s="60">
        <v>51946.74</v>
      </c>
      <c r="D116" s="60">
        <f>-M116</f>
        <v>4696.9999999998836</v>
      </c>
      <c r="E116" s="60">
        <f t="shared" si="5"/>
        <v>590773.91</v>
      </c>
      <c r="F116" s="60">
        <f t="shared" si="6"/>
        <v>47249.740000000107</v>
      </c>
      <c r="G116" s="62">
        <f t="shared" si="7"/>
        <v>8.6932178195497936E-2</v>
      </c>
      <c r="H116" s="63"/>
      <c r="I116" s="17"/>
      <c r="J116" s="65"/>
      <c r="K116" s="65">
        <v>590773.91</v>
      </c>
      <c r="L116" s="65">
        <v>595470.90999999992</v>
      </c>
      <c r="M116" s="29">
        <f t="shared" si="3"/>
        <v>-4696.9999999998836</v>
      </c>
      <c r="N116" s="80" t="s">
        <v>78</v>
      </c>
      <c r="O116" s="80"/>
      <c r="P116" s="80" t="s">
        <v>78</v>
      </c>
      <c r="Q116" s="80" t="s">
        <v>79</v>
      </c>
    </row>
    <row r="117" spans="1:20" ht="12" x14ac:dyDescent="0.2">
      <c r="A117" s="67" t="s">
        <v>80</v>
      </c>
      <c r="B117" s="60">
        <v>2185987.6100000013</v>
      </c>
      <c r="C117" s="60">
        <v>62625.72</v>
      </c>
      <c r="D117" s="60">
        <v>339121.86</v>
      </c>
      <c r="E117" s="60">
        <f t="shared" si="5"/>
        <v>1909491.4700000016</v>
      </c>
      <c r="F117" s="60">
        <f t="shared" si="6"/>
        <v>-276496.13999999966</v>
      </c>
      <c r="G117" s="62">
        <f t="shared" si="7"/>
        <v>-0.12648568488455408</v>
      </c>
      <c r="H117" s="63"/>
      <c r="I117" s="17"/>
      <c r="J117" s="65"/>
      <c r="K117" s="65">
        <v>1909491.47</v>
      </c>
      <c r="L117" s="65">
        <v>1909491.4700000016</v>
      </c>
      <c r="M117" s="29">
        <f t="shared" si="3"/>
        <v>0</v>
      </c>
      <c r="N117" s="81" t="s">
        <v>81</v>
      </c>
      <c r="O117" s="81" t="str">
        <f>+P117&amp;" "&amp;TEXT(R117,"0%")</f>
        <v>Bank of the West 6%</v>
      </c>
      <c r="P117" s="82" t="s">
        <v>82</v>
      </c>
      <c r="Q117" s="83">
        <f>I174+I178</f>
        <v>3778926.7799999979</v>
      </c>
      <c r="R117" s="84">
        <f>+Q117/Q$122</f>
        <v>6.1122728616451238E-2</v>
      </c>
    </row>
    <row r="118" spans="1:20" ht="12" x14ac:dyDescent="0.2">
      <c r="A118" s="67" t="s">
        <v>83</v>
      </c>
      <c r="B118" s="60">
        <v>71728.949999999983</v>
      </c>
      <c r="C118" s="60">
        <v>0</v>
      </c>
      <c r="D118" s="60">
        <v>0</v>
      </c>
      <c r="E118" s="60">
        <f t="shared" si="5"/>
        <v>71728.949999999983</v>
      </c>
      <c r="F118" s="60">
        <f t="shared" si="6"/>
        <v>0</v>
      </c>
      <c r="G118" s="62">
        <f t="shared" si="7"/>
        <v>0</v>
      </c>
      <c r="H118" s="63"/>
      <c r="I118" s="17"/>
      <c r="J118" s="65"/>
      <c r="K118" s="65">
        <v>71728.95</v>
      </c>
      <c r="L118" s="65">
        <v>71728.949999999983</v>
      </c>
      <c r="M118" s="29">
        <f t="shared" si="3"/>
        <v>0</v>
      </c>
      <c r="N118" s="81" t="s">
        <v>81</v>
      </c>
      <c r="O118" s="81" t="str">
        <f>+P118&amp;" "&amp;TEXT(R118,"0%")</f>
        <v>Malaga Bank - MMDA 0%</v>
      </c>
      <c r="P118" s="82" t="s">
        <v>84</v>
      </c>
      <c r="Q118" s="83">
        <f>I176</f>
        <v>0</v>
      </c>
      <c r="R118" s="84">
        <f>+Q118/Q$122</f>
        <v>0</v>
      </c>
    </row>
    <row r="119" spans="1:20" ht="12" x14ac:dyDescent="0.2">
      <c r="A119" s="67" t="s">
        <v>85</v>
      </c>
      <c r="B119" s="60">
        <v>2513201.0000000005</v>
      </c>
      <c r="C119" s="60">
        <v>38966.699999999997</v>
      </c>
      <c r="D119" s="60">
        <v>0</v>
      </c>
      <c r="E119" s="60">
        <f t="shared" si="5"/>
        <v>2552167.7000000007</v>
      </c>
      <c r="F119" s="60">
        <f t="shared" si="6"/>
        <v>38966.700000000186</v>
      </c>
      <c r="G119" s="62">
        <f t="shared" si="7"/>
        <v>1.550480840967363E-2</v>
      </c>
      <c r="H119" s="63"/>
      <c r="I119" s="17"/>
      <c r="J119" s="65"/>
      <c r="K119" s="65">
        <v>2552167.7000000002</v>
      </c>
      <c r="L119" s="65">
        <v>2552167.7000000007</v>
      </c>
      <c r="M119" s="29">
        <f t="shared" si="3"/>
        <v>0</v>
      </c>
      <c r="N119" s="81" t="s">
        <v>86</v>
      </c>
      <c r="O119" s="81" t="str">
        <f>+P119&amp;" "&amp;TEXT(R119,"0%")</f>
        <v>State of California - LAIF 51%</v>
      </c>
      <c r="P119" s="82" t="s">
        <v>87</v>
      </c>
      <c r="Q119" s="83">
        <f>I180</f>
        <v>31449001.909999996</v>
      </c>
      <c r="R119" s="84">
        <f>+Q119/Q$122</f>
        <v>0.50867585452480968</v>
      </c>
    </row>
    <row r="120" spans="1:20" ht="12" x14ac:dyDescent="0.2">
      <c r="A120" s="67" t="s">
        <v>88</v>
      </c>
      <c r="B120" s="60">
        <v>52744.039999999972</v>
      </c>
      <c r="C120" s="60">
        <f>59312.84+M120</f>
        <v>68587.590000000026</v>
      </c>
      <c r="D120" s="60">
        <v>15322.72</v>
      </c>
      <c r="E120" s="60">
        <f t="shared" si="5"/>
        <v>106008.91</v>
      </c>
      <c r="F120" s="60">
        <f t="shared" si="6"/>
        <v>53264.870000000032</v>
      </c>
      <c r="G120" s="62">
        <f>F120/B120</f>
        <v>1.0098746701997052</v>
      </c>
      <c r="H120" s="63"/>
      <c r="I120" s="17"/>
      <c r="J120" s="65"/>
      <c r="K120" s="65">
        <v>106008.91</v>
      </c>
      <c r="L120" s="65">
        <v>96734.159999999974</v>
      </c>
      <c r="M120" s="29">
        <f t="shared" si="3"/>
        <v>9274.7500000000291</v>
      </c>
      <c r="N120" s="14" t="s">
        <v>89</v>
      </c>
      <c r="O120" s="81" t="str">
        <f>+P120&amp;" "&amp;TEXT(R120,"0%")</f>
        <v>Malaga Bank - CD 7%</v>
      </c>
      <c r="P120" s="82" t="s">
        <v>90</v>
      </c>
      <c r="Q120" s="85">
        <f>I182+I184</f>
        <v>4104565.17</v>
      </c>
      <c r="R120" s="84">
        <f>+Q120/Q$122</f>
        <v>6.6389807895258598E-2</v>
      </c>
    </row>
    <row r="121" spans="1:20" ht="22.5" x14ac:dyDescent="0.2">
      <c r="A121" s="67" t="s">
        <v>61</v>
      </c>
      <c r="B121" s="60">
        <v>1120164.9099999997</v>
      </c>
      <c r="C121" s="61">
        <v>0</v>
      </c>
      <c r="D121" s="61">
        <v>86885</v>
      </c>
      <c r="E121" s="60">
        <f t="shared" si="5"/>
        <v>1033279.9099999997</v>
      </c>
      <c r="F121" s="60">
        <f t="shared" si="6"/>
        <v>-86885</v>
      </c>
      <c r="G121" s="62">
        <f t="shared" si="7"/>
        <v>-7.7564472181154129E-2</v>
      </c>
      <c r="H121" s="63"/>
      <c r="I121" s="17"/>
      <c r="J121" s="65"/>
      <c r="K121" s="65">
        <v>1033279.91</v>
      </c>
      <c r="L121" s="65">
        <v>1033279.9099999997</v>
      </c>
      <c r="M121" s="29">
        <f t="shared" si="3"/>
        <v>0</v>
      </c>
      <c r="N121" s="3" t="s">
        <v>89</v>
      </c>
      <c r="O121" s="81" t="str">
        <f>+P121&amp;" "&amp;TEXT(R121,"0%")</f>
        <v>Vining Sparks/Bank of New York - CD 36%</v>
      </c>
      <c r="P121" s="86" t="s">
        <v>91</v>
      </c>
      <c r="Q121" s="85">
        <f>SUM(I186:I265)</f>
        <v>22492736.550000001</v>
      </c>
      <c r="R121" s="84">
        <f>+Q121/Q$122</f>
        <v>0.36381160896348047</v>
      </c>
    </row>
    <row r="122" spans="1:20" ht="12" x14ac:dyDescent="0.2">
      <c r="A122" s="67" t="s">
        <v>92</v>
      </c>
      <c r="B122" s="60">
        <v>791514.35999999987</v>
      </c>
      <c r="C122" s="61">
        <v>1463.14</v>
      </c>
      <c r="D122" s="61">
        <f>2979.21-M122</f>
        <v>6117.3699999999162</v>
      </c>
      <c r="E122" s="60">
        <f t="shared" si="5"/>
        <v>786860.13</v>
      </c>
      <c r="F122" s="60">
        <f t="shared" si="6"/>
        <v>-4654.229999999865</v>
      </c>
      <c r="G122" s="62">
        <f t="shared" si="7"/>
        <v>-5.8801586366668893E-3</v>
      </c>
      <c r="H122" s="63"/>
      <c r="I122" s="17"/>
      <c r="J122" s="65"/>
      <c r="K122" s="65">
        <v>786860.13</v>
      </c>
      <c r="L122" s="65">
        <v>789998.28999999992</v>
      </c>
      <c r="M122" s="29">
        <f t="shared" si="3"/>
        <v>-3138.1599999999162</v>
      </c>
      <c r="P122" s="86"/>
      <c r="Q122" s="85">
        <f>SUM(Q117:Q121)</f>
        <v>61825230.409999996</v>
      </c>
    </row>
    <row r="123" spans="1:20" ht="12" x14ac:dyDescent="0.2">
      <c r="A123" s="79" t="s">
        <v>93</v>
      </c>
      <c r="B123" s="60">
        <v>67834.289999999994</v>
      </c>
      <c r="C123" s="61">
        <v>0</v>
      </c>
      <c r="D123" s="61">
        <v>0</v>
      </c>
      <c r="E123" s="60">
        <f t="shared" si="5"/>
        <v>67834.289999999994</v>
      </c>
      <c r="F123" s="60">
        <f t="shared" si="6"/>
        <v>0</v>
      </c>
      <c r="G123" s="62">
        <f t="shared" si="7"/>
        <v>0</v>
      </c>
      <c r="H123" s="63"/>
      <c r="I123" s="17"/>
      <c r="J123" s="65"/>
      <c r="K123" s="65">
        <v>67834.289999999994</v>
      </c>
      <c r="L123" s="65">
        <v>67834.289999999994</v>
      </c>
      <c r="M123" s="29">
        <f t="shared" si="3"/>
        <v>0</v>
      </c>
      <c r="P123" s="87"/>
      <c r="S123" s="4"/>
      <c r="T123" s="3"/>
    </row>
    <row r="124" spans="1:20" ht="12" x14ac:dyDescent="0.2">
      <c r="A124" s="79" t="s">
        <v>94</v>
      </c>
      <c r="B124" s="60">
        <v>329439.82000000012</v>
      </c>
      <c r="C124" s="61">
        <v>12.62</v>
      </c>
      <c r="D124" s="61">
        <v>1264.82</v>
      </c>
      <c r="E124" s="60">
        <f t="shared" si="5"/>
        <v>328187.62000000011</v>
      </c>
      <c r="F124" s="60">
        <f t="shared" si="6"/>
        <v>-1252.2000000000116</v>
      </c>
      <c r="G124" s="62">
        <f t="shared" si="7"/>
        <v>-3.8009977057418595E-3</v>
      </c>
      <c r="H124" s="63"/>
      <c r="I124" s="17"/>
      <c r="J124" s="65"/>
      <c r="K124" s="65">
        <v>328187.62</v>
      </c>
      <c r="L124" s="65">
        <v>328187.62000000011</v>
      </c>
      <c r="M124" s="29">
        <f t="shared" si="3"/>
        <v>0</v>
      </c>
      <c r="S124" s="4"/>
      <c r="T124" s="3"/>
    </row>
    <row r="125" spans="1:20" ht="12" x14ac:dyDescent="0.2">
      <c r="A125" s="79" t="s">
        <v>95</v>
      </c>
      <c r="B125" s="60">
        <v>0</v>
      </c>
      <c r="C125" s="61">
        <v>0</v>
      </c>
      <c r="D125" s="61">
        <v>0</v>
      </c>
      <c r="E125" s="60">
        <f t="shared" si="5"/>
        <v>0</v>
      </c>
      <c r="F125" s="60">
        <f t="shared" si="6"/>
        <v>0</v>
      </c>
      <c r="G125" s="62">
        <v>0</v>
      </c>
      <c r="H125" s="63"/>
      <c r="I125" s="17"/>
      <c r="J125" s="65"/>
      <c r="K125" s="65">
        <v>0</v>
      </c>
      <c r="L125" s="65">
        <v>0</v>
      </c>
      <c r="M125" s="29">
        <f t="shared" si="3"/>
        <v>0</v>
      </c>
      <c r="S125" s="4"/>
      <c r="T125" s="3"/>
    </row>
    <row r="126" spans="1:20" ht="12" x14ac:dyDescent="0.2">
      <c r="A126" s="79" t="s">
        <v>96</v>
      </c>
      <c r="B126" s="60">
        <v>86743.31</v>
      </c>
      <c r="C126" s="61">
        <v>0</v>
      </c>
      <c r="D126" s="61">
        <v>0</v>
      </c>
      <c r="E126" s="60">
        <f t="shared" si="5"/>
        <v>86743.31</v>
      </c>
      <c r="F126" s="60">
        <f t="shared" si="6"/>
        <v>0</v>
      </c>
      <c r="G126" s="62">
        <f t="shared" si="7"/>
        <v>0</v>
      </c>
      <c r="H126" s="63"/>
      <c r="I126" s="17"/>
      <c r="J126" s="65"/>
      <c r="K126" s="65">
        <v>86743.31</v>
      </c>
      <c r="L126" s="65">
        <v>86743.31</v>
      </c>
      <c r="M126" s="29">
        <f t="shared" si="3"/>
        <v>0</v>
      </c>
      <c r="S126" s="4"/>
      <c r="T126" s="3"/>
    </row>
    <row r="127" spans="1:20" ht="12" x14ac:dyDescent="0.2">
      <c r="A127" s="79" t="s">
        <v>97</v>
      </c>
      <c r="B127" s="60">
        <v>880203.21999999986</v>
      </c>
      <c r="C127" s="61">
        <v>1500</v>
      </c>
      <c r="D127" s="61">
        <f>1397.22-M127</f>
        <v>1705.1499999999348</v>
      </c>
      <c r="E127" s="60">
        <f t="shared" si="5"/>
        <v>879998.07</v>
      </c>
      <c r="F127" s="60">
        <f t="shared" si="6"/>
        <v>-205.14999999990687</v>
      </c>
      <c r="G127" s="62">
        <f t="shared" si="7"/>
        <v>-2.3307117644935099E-4</v>
      </c>
      <c r="H127" s="63"/>
      <c r="I127" s="17"/>
      <c r="J127" s="65"/>
      <c r="K127" s="65">
        <v>879998.07</v>
      </c>
      <c r="L127" s="65">
        <v>880305.99999999988</v>
      </c>
      <c r="M127" s="29">
        <f t="shared" si="3"/>
        <v>-307.92999999993481</v>
      </c>
      <c r="S127" s="4"/>
      <c r="T127" s="3"/>
    </row>
    <row r="128" spans="1:20" ht="12" x14ac:dyDescent="0.2">
      <c r="A128" s="79" t="s">
        <v>98</v>
      </c>
      <c r="B128" s="60">
        <v>1017903.81</v>
      </c>
      <c r="C128" s="61">
        <v>181644.32</v>
      </c>
      <c r="D128" s="61">
        <v>0</v>
      </c>
      <c r="E128" s="60">
        <f t="shared" si="5"/>
        <v>1199548.1300000001</v>
      </c>
      <c r="F128" s="60">
        <f t="shared" si="6"/>
        <v>181644.32000000007</v>
      </c>
      <c r="G128" s="62">
        <f t="shared" si="7"/>
        <v>0.17844939592081893</v>
      </c>
      <c r="H128" s="63"/>
      <c r="I128" s="17"/>
      <c r="J128" s="65"/>
      <c r="K128" s="65">
        <v>1199548.1299999999</v>
      </c>
      <c r="L128" s="65">
        <v>1199548.1300000001</v>
      </c>
      <c r="M128" s="29">
        <f t="shared" si="3"/>
        <v>0</v>
      </c>
      <c r="S128" s="4"/>
      <c r="T128" s="3"/>
    </row>
    <row r="129" spans="1:20" ht="12" x14ac:dyDescent="0.2">
      <c r="A129" s="67" t="s">
        <v>63</v>
      </c>
      <c r="B129" s="60">
        <v>1307157.3799999999</v>
      </c>
      <c r="C129" s="61">
        <v>0</v>
      </c>
      <c r="D129" s="61">
        <f>-M129</f>
        <v>250</v>
      </c>
      <c r="E129" s="60">
        <f t="shared" si="5"/>
        <v>1306907.3799999999</v>
      </c>
      <c r="F129" s="60">
        <f t="shared" si="6"/>
        <v>-250</v>
      </c>
      <c r="G129" s="62">
        <f t="shared" si="7"/>
        <v>-1.9125470568815518E-4</v>
      </c>
      <c r="H129" s="63"/>
      <c r="I129" s="17"/>
      <c r="J129" s="65"/>
      <c r="K129" s="65">
        <v>1306907.3799999999</v>
      </c>
      <c r="L129" s="65">
        <v>1307157.3799999999</v>
      </c>
      <c r="M129" s="29">
        <f t="shared" si="3"/>
        <v>-250</v>
      </c>
      <c r="S129" s="4"/>
      <c r="T129" s="3"/>
    </row>
    <row r="130" spans="1:20" ht="12" x14ac:dyDescent="0.2">
      <c r="A130" s="67" t="s">
        <v>99</v>
      </c>
      <c r="B130" s="60">
        <v>151317.32</v>
      </c>
      <c r="C130" s="61">
        <v>0</v>
      </c>
      <c r="D130" s="61">
        <v>0</v>
      </c>
      <c r="E130" s="60">
        <f t="shared" si="5"/>
        <v>151317.32</v>
      </c>
      <c r="F130" s="60">
        <f t="shared" si="6"/>
        <v>0</v>
      </c>
      <c r="G130" s="62">
        <f t="shared" si="7"/>
        <v>0</v>
      </c>
      <c r="H130" s="63"/>
      <c r="I130" s="17"/>
      <c r="J130" s="65"/>
      <c r="K130" s="65">
        <v>151317.32</v>
      </c>
      <c r="L130" s="65">
        <v>151317.32</v>
      </c>
      <c r="M130" s="29">
        <f t="shared" si="3"/>
        <v>0</v>
      </c>
      <c r="S130" s="4"/>
      <c r="T130" s="3"/>
    </row>
    <row r="131" spans="1:20" ht="12" x14ac:dyDescent="0.2">
      <c r="A131" s="67" t="s">
        <v>100</v>
      </c>
      <c r="B131" s="60">
        <v>818163.87999999989</v>
      </c>
      <c r="C131" s="61">
        <v>0</v>
      </c>
      <c r="D131" s="61">
        <v>0</v>
      </c>
      <c r="E131" s="60">
        <f t="shared" si="5"/>
        <v>818163.87999999989</v>
      </c>
      <c r="F131" s="60">
        <f t="shared" si="6"/>
        <v>0</v>
      </c>
      <c r="G131" s="62">
        <f t="shared" si="7"/>
        <v>0</v>
      </c>
      <c r="H131" s="63"/>
      <c r="I131" s="17"/>
      <c r="J131" s="65"/>
      <c r="K131" s="65">
        <v>818163.88</v>
      </c>
      <c r="L131" s="65">
        <v>818163.87999999989</v>
      </c>
      <c r="M131" s="29">
        <f t="shared" si="3"/>
        <v>0</v>
      </c>
      <c r="S131" s="4"/>
      <c r="T131" s="3"/>
    </row>
    <row r="132" spans="1:20" ht="12" x14ac:dyDescent="0.2">
      <c r="A132" s="67" t="s">
        <v>101</v>
      </c>
      <c r="B132" s="60">
        <v>460159.79000000004</v>
      </c>
      <c r="C132" s="60">
        <v>11706</v>
      </c>
      <c r="D132" s="60">
        <v>0</v>
      </c>
      <c r="E132" s="60">
        <f t="shared" si="5"/>
        <v>471865.79000000004</v>
      </c>
      <c r="F132" s="60">
        <f t="shared" si="6"/>
        <v>11706</v>
      </c>
      <c r="G132" s="62">
        <f t="shared" si="7"/>
        <v>2.5438989356284258E-2</v>
      </c>
      <c r="H132" s="63"/>
      <c r="I132" s="17"/>
      <c r="J132" s="65"/>
      <c r="K132" s="65">
        <v>471865.79</v>
      </c>
      <c r="L132" s="65">
        <v>471865.79000000004</v>
      </c>
      <c r="M132" s="29">
        <f t="shared" si="3"/>
        <v>0</v>
      </c>
      <c r="S132" s="4"/>
      <c r="T132" s="3"/>
    </row>
    <row r="133" spans="1:20" ht="12" x14ac:dyDescent="0.2">
      <c r="A133" s="67" t="s">
        <v>102</v>
      </c>
      <c r="B133" s="60">
        <v>0</v>
      </c>
      <c r="C133" s="60">
        <v>0</v>
      </c>
      <c r="D133" s="60">
        <v>0</v>
      </c>
      <c r="E133" s="60">
        <f t="shared" si="5"/>
        <v>0</v>
      </c>
      <c r="F133" s="60">
        <f t="shared" si="6"/>
        <v>0</v>
      </c>
      <c r="G133" s="62">
        <v>0</v>
      </c>
      <c r="H133" s="63"/>
      <c r="I133" s="17"/>
      <c r="J133" s="65"/>
      <c r="K133" s="65">
        <v>0</v>
      </c>
      <c r="L133" s="65">
        <v>0</v>
      </c>
      <c r="M133" s="29">
        <f t="shared" si="3"/>
        <v>0</v>
      </c>
      <c r="S133" s="4"/>
      <c r="T133" s="3"/>
    </row>
    <row r="134" spans="1:20" ht="12" x14ac:dyDescent="0.2">
      <c r="A134" s="67" t="s">
        <v>103</v>
      </c>
      <c r="B134" s="60">
        <v>49650.6</v>
      </c>
      <c r="C134" s="60">
        <v>0</v>
      </c>
      <c r="D134" s="60">
        <v>0</v>
      </c>
      <c r="E134" s="60">
        <f t="shared" si="5"/>
        <v>49650.6</v>
      </c>
      <c r="F134" s="60">
        <f t="shared" si="6"/>
        <v>0</v>
      </c>
      <c r="G134" s="62">
        <f>-F134/B134</f>
        <v>0</v>
      </c>
      <c r="H134" s="63"/>
      <c r="I134" s="17"/>
      <c r="J134" s="65"/>
      <c r="K134" s="65">
        <v>49650.6</v>
      </c>
      <c r="L134" s="65">
        <v>49650.6</v>
      </c>
      <c r="M134" s="29">
        <f t="shared" si="3"/>
        <v>0</v>
      </c>
      <c r="S134" s="4"/>
      <c r="T134" s="3"/>
    </row>
    <row r="135" spans="1:20" ht="12" x14ac:dyDescent="0.2">
      <c r="A135" s="67" t="s">
        <v>104</v>
      </c>
      <c r="B135" s="60">
        <v>0</v>
      </c>
      <c r="C135" s="60">
        <v>0</v>
      </c>
      <c r="D135" s="60">
        <v>0</v>
      </c>
      <c r="E135" s="60">
        <f t="shared" si="5"/>
        <v>0</v>
      </c>
      <c r="F135" s="60">
        <f t="shared" si="6"/>
        <v>0</v>
      </c>
      <c r="G135" s="62">
        <v>0</v>
      </c>
      <c r="H135" s="63"/>
      <c r="I135" s="17"/>
      <c r="J135" s="65"/>
      <c r="K135" s="65">
        <v>0</v>
      </c>
      <c r="L135" s="65">
        <v>0</v>
      </c>
      <c r="M135" s="29">
        <f t="shared" si="3"/>
        <v>0</v>
      </c>
      <c r="S135" s="4"/>
      <c r="T135" s="3"/>
    </row>
    <row r="136" spans="1:20" ht="12" x14ac:dyDescent="0.2">
      <c r="A136" s="67" t="s">
        <v>105</v>
      </c>
      <c r="B136" s="60">
        <v>0</v>
      </c>
      <c r="C136" s="60">
        <v>0</v>
      </c>
      <c r="D136" s="60">
        <v>0</v>
      </c>
      <c r="E136" s="60">
        <f t="shared" si="5"/>
        <v>0</v>
      </c>
      <c r="F136" s="60">
        <f t="shared" si="6"/>
        <v>0</v>
      </c>
      <c r="G136" s="62">
        <v>0</v>
      </c>
      <c r="H136" s="63"/>
      <c r="I136" s="17"/>
      <c r="J136" s="65"/>
      <c r="K136" s="65">
        <v>0</v>
      </c>
      <c r="L136" s="65">
        <v>0</v>
      </c>
      <c r="M136" s="29">
        <f t="shared" si="3"/>
        <v>0</v>
      </c>
      <c r="S136" s="4"/>
      <c r="T136" s="3"/>
    </row>
    <row r="137" spans="1:20" ht="12" x14ac:dyDescent="0.2">
      <c r="A137" s="67" t="s">
        <v>65</v>
      </c>
      <c r="B137" s="60">
        <v>548311.14999999944</v>
      </c>
      <c r="C137" s="60">
        <v>0</v>
      </c>
      <c r="D137" s="60">
        <v>0</v>
      </c>
      <c r="E137" s="60">
        <f t="shared" si="5"/>
        <v>548311.14999999944</v>
      </c>
      <c r="F137" s="60">
        <f t="shared" si="6"/>
        <v>0</v>
      </c>
      <c r="G137" s="62">
        <f t="shared" si="7"/>
        <v>0</v>
      </c>
      <c r="H137" s="63"/>
      <c r="I137" s="17"/>
      <c r="J137" s="65"/>
      <c r="K137" s="65">
        <v>548311.15</v>
      </c>
      <c r="L137" s="65">
        <v>548311.14999999944</v>
      </c>
      <c r="M137" s="29">
        <f t="shared" si="3"/>
        <v>0</v>
      </c>
      <c r="S137" s="4"/>
      <c r="T137" s="3"/>
    </row>
    <row r="138" spans="1:20" ht="12" x14ac:dyDescent="0.2">
      <c r="A138" s="67" t="s">
        <v>106</v>
      </c>
      <c r="B138" s="60">
        <v>410448.37</v>
      </c>
      <c r="C138" s="61">
        <v>0</v>
      </c>
      <c r="D138" s="61">
        <v>0</v>
      </c>
      <c r="E138" s="60">
        <f t="shared" si="5"/>
        <v>410448.37</v>
      </c>
      <c r="F138" s="60">
        <f t="shared" si="6"/>
        <v>0</v>
      </c>
      <c r="G138" s="62">
        <f t="shared" si="7"/>
        <v>0</v>
      </c>
      <c r="H138" s="63"/>
      <c r="I138" s="17"/>
      <c r="J138" s="65"/>
      <c r="K138" s="65">
        <v>410448.37</v>
      </c>
      <c r="L138" s="65">
        <v>410448.37</v>
      </c>
      <c r="M138" s="29">
        <f t="shared" si="3"/>
        <v>0</v>
      </c>
      <c r="S138" s="4"/>
      <c r="T138" s="3"/>
    </row>
    <row r="139" spans="1:20" ht="12" x14ac:dyDescent="0.2">
      <c r="A139" s="67" t="s">
        <v>107</v>
      </c>
      <c r="B139" s="60">
        <v>0</v>
      </c>
      <c r="C139" s="60">
        <v>0</v>
      </c>
      <c r="D139" s="60">
        <v>0</v>
      </c>
      <c r="E139" s="60">
        <f t="shared" si="5"/>
        <v>0</v>
      </c>
      <c r="F139" s="60">
        <f t="shared" si="6"/>
        <v>0</v>
      </c>
      <c r="G139" s="62">
        <v>0</v>
      </c>
      <c r="H139" s="63"/>
      <c r="I139" s="17"/>
      <c r="J139" s="65"/>
      <c r="K139" s="65">
        <v>0</v>
      </c>
      <c r="L139" s="65">
        <v>0</v>
      </c>
      <c r="M139" s="29">
        <f t="shared" si="3"/>
        <v>0</v>
      </c>
      <c r="S139" s="4"/>
      <c r="T139" s="3"/>
    </row>
    <row r="140" spans="1:20" ht="12" x14ac:dyDescent="0.2">
      <c r="A140" s="67" t="s">
        <v>108</v>
      </c>
      <c r="B140" s="60">
        <v>681410.48999999987</v>
      </c>
      <c r="C140" s="61">
        <v>39900.39</v>
      </c>
      <c r="D140" s="61">
        <f>53752.2-M140</f>
        <v>126001.29999999997</v>
      </c>
      <c r="E140" s="60">
        <f t="shared" si="5"/>
        <v>595309.57999999996</v>
      </c>
      <c r="F140" s="60">
        <f t="shared" si="6"/>
        <v>-86100.909999999916</v>
      </c>
      <c r="G140" s="62">
        <f t="shared" si="7"/>
        <v>-0.12635688951603891</v>
      </c>
      <c r="H140" s="63"/>
      <c r="I140" s="17"/>
      <c r="J140" s="88"/>
      <c r="K140" s="89">
        <v>595309.57999999996</v>
      </c>
      <c r="L140" s="89">
        <v>667558.67999999993</v>
      </c>
      <c r="M140" s="29">
        <f t="shared" si="3"/>
        <v>-72249.099999999977</v>
      </c>
      <c r="S140" s="4"/>
      <c r="T140" s="3"/>
    </row>
    <row r="141" spans="1:20" ht="12" x14ac:dyDescent="0.2">
      <c r="A141" s="55" t="s">
        <v>64</v>
      </c>
      <c r="B141" s="90">
        <f>SUM(B108:B140)</f>
        <v>16564044.59</v>
      </c>
      <c r="C141" s="90">
        <f>SUM(C108:C140)</f>
        <v>685148.56000000017</v>
      </c>
      <c r="D141" s="56">
        <f>SUM(D108:D140)</f>
        <v>891919.97000000114</v>
      </c>
      <c r="E141" s="56">
        <f>SUM(E108:E140)</f>
        <v>16357273.18</v>
      </c>
      <c r="F141" s="90">
        <f>SUM(F108:F140)</f>
        <v>-206771.41000000056</v>
      </c>
      <c r="G141" s="57">
        <f>F141/B141</f>
        <v>-1.2483147390513065E-2</v>
      </c>
      <c r="H141" s="63"/>
      <c r="I141" s="17"/>
      <c r="J141" s="91"/>
      <c r="K141" s="91">
        <f>SUM(K99:K140)</f>
        <v>61825230.810000002</v>
      </c>
      <c r="L141" s="91">
        <f>SUM(L99:L140)</f>
        <v>61814351.079999998</v>
      </c>
      <c r="M141" s="91">
        <f>SUM(M99:M140)</f>
        <v>10879.730000012263</v>
      </c>
      <c r="S141" s="4"/>
      <c r="T141" s="3"/>
    </row>
    <row r="142" spans="1:20" ht="12.75" thickBot="1" x14ac:dyDescent="0.25">
      <c r="A142" s="55" t="s">
        <v>109</v>
      </c>
      <c r="B142" s="92">
        <f>B99+B106+B141</f>
        <v>61674613.669999987</v>
      </c>
      <c r="C142" s="92">
        <f>C99+C106+C141</f>
        <v>6862749.5300000105</v>
      </c>
      <c r="D142" s="92">
        <f>D99+D106+D141</f>
        <v>6712132.3899999987</v>
      </c>
      <c r="E142" s="92">
        <f>E99+E106+E141</f>
        <v>61825230.81000001</v>
      </c>
      <c r="F142" s="92">
        <f>F99+F106+F141</f>
        <v>150617.14000001329</v>
      </c>
      <c r="G142" s="57">
        <f>F142/B142</f>
        <v>2.4421253906171947E-3</v>
      </c>
      <c r="H142" s="63"/>
      <c r="I142" s="64"/>
      <c r="J142" s="93"/>
      <c r="K142" s="93"/>
      <c r="L142" s="93"/>
      <c r="M142" s="77"/>
      <c r="S142" s="4"/>
      <c r="T142" s="3"/>
    </row>
    <row r="143" spans="1:20" ht="12.75" thickTop="1" x14ac:dyDescent="0.2">
      <c r="A143" s="39"/>
      <c r="B143" s="94"/>
      <c r="C143" s="94"/>
      <c r="D143" s="39" t="s">
        <v>110</v>
      </c>
      <c r="E143" s="39"/>
      <c r="F143" s="94"/>
      <c r="G143" s="95"/>
      <c r="H143" s="96"/>
      <c r="I143" s="64"/>
      <c r="J143" s="97"/>
      <c r="K143" s="97"/>
      <c r="L143" s="97"/>
      <c r="M143" s="98"/>
      <c r="N143" s="99"/>
    </row>
    <row r="144" spans="1:20" ht="12.75" thickBot="1" x14ac:dyDescent="0.25">
      <c r="A144" s="39"/>
      <c r="B144" s="94"/>
      <c r="C144" s="39" t="s">
        <v>111</v>
      </c>
      <c r="D144" s="39"/>
      <c r="E144" s="100">
        <f>ROUND(E142+E143,2)</f>
        <v>61825230.810000002</v>
      </c>
      <c r="F144" s="94"/>
      <c r="G144" s="69"/>
      <c r="H144" s="94"/>
      <c r="I144" s="101"/>
      <c r="J144" s="101"/>
      <c r="K144" s="101"/>
      <c r="L144" s="101"/>
      <c r="M144" s="27"/>
    </row>
    <row r="145" spans="2:13" ht="12" thickTop="1" x14ac:dyDescent="0.2">
      <c r="B145" s="16"/>
      <c r="C145" s="16"/>
      <c r="F145" s="16"/>
      <c r="G145" s="27"/>
      <c r="H145" s="16"/>
      <c r="I145" s="24"/>
      <c r="J145" s="24"/>
      <c r="K145" s="24"/>
      <c r="L145" s="24"/>
      <c r="M145" s="27"/>
    </row>
    <row r="146" spans="2:13" x14ac:dyDescent="0.2">
      <c r="B146" s="16"/>
      <c r="C146" s="16"/>
      <c r="F146" s="16"/>
      <c r="G146" s="27"/>
      <c r="H146" s="27"/>
      <c r="I146" s="24"/>
      <c r="J146" s="24"/>
      <c r="K146" s="24"/>
      <c r="L146" s="24"/>
      <c r="M146" s="27"/>
    </row>
    <row r="147" spans="2:13" x14ac:dyDescent="0.2">
      <c r="B147" s="16"/>
      <c r="C147" s="16"/>
      <c r="F147" s="16"/>
      <c r="G147" s="27"/>
      <c r="H147" s="27"/>
      <c r="I147" s="24"/>
      <c r="J147" s="24"/>
      <c r="K147" s="24"/>
      <c r="L147" s="24"/>
      <c r="M147" s="27"/>
    </row>
    <row r="148" spans="2:13" x14ac:dyDescent="0.2">
      <c r="B148" s="16"/>
      <c r="C148" s="16"/>
      <c r="F148" s="16"/>
      <c r="G148" s="27"/>
      <c r="H148" s="27"/>
      <c r="I148" s="24"/>
      <c r="J148" s="24"/>
      <c r="K148" s="24"/>
      <c r="L148" s="24"/>
      <c r="M148" s="27"/>
    </row>
    <row r="149" spans="2:13" x14ac:dyDescent="0.2">
      <c r="B149" s="16"/>
      <c r="C149" s="16"/>
      <c r="F149" s="16"/>
      <c r="G149" s="27"/>
      <c r="H149" s="27"/>
      <c r="I149" s="24"/>
      <c r="J149" s="24"/>
      <c r="K149" s="24"/>
      <c r="L149" s="24"/>
      <c r="M149" s="27"/>
    </row>
    <row r="150" spans="2:13" x14ac:dyDescent="0.2">
      <c r="B150" s="16"/>
      <c r="C150" s="16"/>
      <c r="F150" s="16"/>
      <c r="G150" s="27"/>
      <c r="H150" s="27"/>
      <c r="I150" s="24"/>
      <c r="J150" s="24"/>
      <c r="K150" s="24"/>
      <c r="L150" s="24"/>
      <c r="M150" s="27"/>
    </row>
    <row r="151" spans="2:13" x14ac:dyDescent="0.2">
      <c r="B151" s="16"/>
      <c r="C151" s="16"/>
      <c r="F151" s="16"/>
      <c r="G151" s="27"/>
      <c r="H151" s="27"/>
      <c r="I151" s="24"/>
      <c r="J151" s="24"/>
      <c r="K151" s="24"/>
      <c r="L151" s="24"/>
      <c r="M151" s="27"/>
    </row>
    <row r="152" spans="2:13" x14ac:dyDescent="0.2">
      <c r="B152" s="16"/>
      <c r="C152" s="16"/>
      <c r="F152" s="16"/>
      <c r="G152" s="27"/>
      <c r="H152" s="27"/>
      <c r="I152" s="24"/>
      <c r="J152" s="24"/>
      <c r="K152" s="24"/>
      <c r="L152" s="24"/>
      <c r="M152" s="27"/>
    </row>
    <row r="153" spans="2:13" x14ac:dyDescent="0.2">
      <c r="B153" s="16"/>
      <c r="C153" s="16"/>
      <c r="F153" s="16"/>
      <c r="G153" s="27"/>
      <c r="H153" s="27"/>
      <c r="I153" s="27"/>
      <c r="J153" s="27"/>
      <c r="K153" s="27"/>
      <c r="L153" s="27"/>
      <c r="M153" s="27"/>
    </row>
    <row r="154" spans="2:13" x14ac:dyDescent="0.2">
      <c r="B154" s="16"/>
      <c r="C154" s="16"/>
      <c r="F154" s="16"/>
      <c r="G154" s="27"/>
      <c r="H154" s="27"/>
      <c r="I154" s="27"/>
      <c r="J154" s="27"/>
      <c r="K154" s="27"/>
      <c r="L154" s="27"/>
      <c r="M154" s="27"/>
    </row>
    <row r="155" spans="2:13" x14ac:dyDescent="0.2">
      <c r="B155" s="16"/>
      <c r="C155" s="16"/>
      <c r="F155" s="16"/>
      <c r="G155" s="27"/>
      <c r="H155" s="27"/>
      <c r="I155" s="27"/>
      <c r="J155" s="27"/>
      <c r="K155" s="27"/>
      <c r="L155" s="27"/>
      <c r="M155" s="27"/>
    </row>
    <row r="156" spans="2:13" x14ac:dyDescent="0.2">
      <c r="B156" s="16"/>
      <c r="C156" s="16"/>
      <c r="F156" s="16"/>
      <c r="G156" s="27"/>
      <c r="H156" s="27"/>
      <c r="I156" s="27"/>
      <c r="J156" s="27"/>
      <c r="K156" s="27"/>
      <c r="L156" s="27"/>
      <c r="M156" s="27"/>
    </row>
    <row r="157" spans="2:13" x14ac:dyDescent="0.2">
      <c r="B157" s="16"/>
      <c r="C157" s="16"/>
      <c r="F157" s="16"/>
      <c r="G157" s="27"/>
      <c r="H157" s="27"/>
      <c r="I157" s="27"/>
      <c r="J157" s="27"/>
      <c r="K157" s="27"/>
      <c r="L157" s="27"/>
      <c r="M157" s="27"/>
    </row>
    <row r="158" spans="2:13" x14ac:dyDescent="0.2">
      <c r="B158" s="16"/>
      <c r="C158" s="16"/>
      <c r="F158" s="16"/>
      <c r="G158" s="27"/>
      <c r="H158" s="27"/>
      <c r="I158" s="27"/>
      <c r="J158" s="27"/>
      <c r="K158" s="27"/>
      <c r="L158" s="27"/>
      <c r="M158" s="27"/>
    </row>
    <row r="159" spans="2:13" x14ac:dyDescent="0.2">
      <c r="B159" s="16"/>
      <c r="C159" s="16"/>
      <c r="F159" s="16"/>
      <c r="G159" s="27"/>
      <c r="H159" s="27"/>
      <c r="I159" s="27"/>
      <c r="J159" s="27"/>
      <c r="K159" s="27"/>
      <c r="L159" s="27"/>
      <c r="M159" s="27"/>
    </row>
    <row r="160" spans="2:13" x14ac:dyDescent="0.2">
      <c r="B160" s="16"/>
      <c r="C160" s="16"/>
      <c r="F160" s="16"/>
      <c r="G160" s="27"/>
      <c r="H160" s="27"/>
      <c r="I160" s="27"/>
      <c r="J160" s="27"/>
      <c r="K160" s="27"/>
      <c r="L160" s="27"/>
      <c r="M160" s="27"/>
    </row>
    <row r="161" spans="1:16" x14ac:dyDescent="0.2">
      <c r="B161" s="16"/>
      <c r="C161" s="16"/>
      <c r="F161" s="16"/>
      <c r="G161" s="27"/>
      <c r="H161" s="27"/>
      <c r="I161" s="27"/>
      <c r="J161" s="27"/>
      <c r="K161" s="27"/>
      <c r="L161" s="27"/>
      <c r="M161" s="27"/>
    </row>
    <row r="162" spans="1:16" x14ac:dyDescent="0.2">
      <c r="B162" s="16"/>
      <c r="C162" s="16"/>
      <c r="F162" s="16"/>
      <c r="G162" s="27"/>
      <c r="H162" s="27"/>
      <c r="I162" s="27"/>
      <c r="J162" s="27"/>
      <c r="K162" s="27"/>
      <c r="L162" s="27"/>
      <c r="M162" s="27"/>
    </row>
    <row r="163" spans="1:16" x14ac:dyDescent="0.2">
      <c r="B163" s="16"/>
      <c r="C163" s="16"/>
      <c r="F163" s="16"/>
      <c r="G163" s="27"/>
      <c r="H163" s="27"/>
      <c r="I163" s="27"/>
      <c r="J163" s="27"/>
      <c r="K163" s="27"/>
      <c r="L163" s="27"/>
      <c r="M163" s="27"/>
    </row>
    <row r="164" spans="1:16" x14ac:dyDescent="0.2">
      <c r="B164" s="16"/>
      <c r="C164" s="16"/>
      <c r="F164" s="16"/>
      <c r="G164" s="27"/>
      <c r="H164" s="27"/>
      <c r="I164" s="27"/>
      <c r="J164" s="27"/>
      <c r="K164" s="27"/>
      <c r="L164" s="27"/>
      <c r="M164" s="27"/>
    </row>
    <row r="165" spans="1:16" x14ac:dyDescent="0.2">
      <c r="B165" s="16"/>
      <c r="C165" s="16"/>
      <c r="F165" s="16"/>
      <c r="G165" s="27"/>
      <c r="H165" s="27"/>
      <c r="I165" s="27"/>
      <c r="J165" s="27"/>
      <c r="K165" s="27"/>
      <c r="L165" s="27"/>
      <c r="M165" s="27"/>
    </row>
    <row r="166" spans="1:16" x14ac:dyDescent="0.2">
      <c r="A166" s="1" t="s">
        <v>0</v>
      </c>
      <c r="B166" s="1"/>
      <c r="C166" s="1"/>
      <c r="D166" s="1"/>
      <c r="E166" s="1"/>
      <c r="F166" s="1"/>
      <c r="G166" s="1"/>
      <c r="H166" s="1"/>
      <c r="I166" s="1"/>
      <c r="J166" s="1"/>
      <c r="K166" s="102"/>
      <c r="L166" s="102"/>
      <c r="M166" s="102"/>
      <c r="N166" s="2"/>
    </row>
    <row r="167" spans="1:16" x14ac:dyDescent="0.2">
      <c r="A167" s="1" t="s">
        <v>1</v>
      </c>
      <c r="B167" s="1"/>
      <c r="C167" s="1"/>
      <c r="D167" s="1"/>
      <c r="E167" s="1"/>
      <c r="F167" s="1"/>
      <c r="G167" s="1"/>
      <c r="H167" s="1"/>
      <c r="I167" s="1"/>
      <c r="J167" s="1"/>
      <c r="K167" s="102"/>
      <c r="L167" s="102"/>
      <c r="M167" s="102"/>
      <c r="N167" s="2"/>
    </row>
    <row r="168" spans="1:16" ht="12" customHeight="1" x14ac:dyDescent="0.2">
      <c r="A168" s="5" t="s">
        <v>2</v>
      </c>
      <c r="B168" s="5"/>
      <c r="C168" s="5"/>
      <c r="D168" s="5"/>
      <c r="E168" s="5"/>
      <c r="F168" s="5"/>
      <c r="G168" s="5"/>
      <c r="H168" s="5"/>
      <c r="I168" s="5"/>
      <c r="J168" s="5"/>
      <c r="K168" s="103"/>
      <c r="L168" s="103"/>
      <c r="M168" s="103"/>
      <c r="N168" s="6"/>
    </row>
    <row r="169" spans="1:16" x14ac:dyDescent="0.2">
      <c r="A169" s="104"/>
      <c r="B169" s="8"/>
      <c r="C169" s="8"/>
      <c r="D169" s="8"/>
      <c r="E169" s="8"/>
      <c r="F169" s="105"/>
      <c r="G169" s="105"/>
      <c r="H169" s="105"/>
      <c r="I169" s="105"/>
      <c r="J169" s="105"/>
      <c r="K169" s="105"/>
      <c r="L169" s="105"/>
      <c r="M169" s="105"/>
      <c r="N169" s="105"/>
    </row>
    <row r="170" spans="1:16" x14ac:dyDescent="0.2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</row>
    <row r="171" spans="1:16" x14ac:dyDescent="0.2">
      <c r="A171" s="10"/>
      <c r="B171" s="11" t="s">
        <v>75</v>
      </c>
      <c r="C171" s="11"/>
      <c r="D171" s="11" t="s">
        <v>112</v>
      </c>
      <c r="E171" s="11"/>
      <c r="F171" s="11" t="s">
        <v>113</v>
      </c>
      <c r="G171" s="11" t="s">
        <v>76</v>
      </c>
      <c r="H171" s="11" t="s">
        <v>114</v>
      </c>
      <c r="I171" s="11" t="s">
        <v>115</v>
      </c>
      <c r="J171" s="11"/>
      <c r="K171" s="11"/>
      <c r="L171" s="11"/>
      <c r="M171" s="11"/>
      <c r="N171" s="11"/>
    </row>
    <row r="172" spans="1:16" ht="12" thickBot="1" x14ac:dyDescent="0.25">
      <c r="A172" s="80" t="s">
        <v>78</v>
      </c>
      <c r="B172" s="80" t="s">
        <v>78</v>
      </c>
      <c r="C172" s="80" t="s">
        <v>116</v>
      </c>
      <c r="D172" s="80" t="s">
        <v>117</v>
      </c>
      <c r="E172" s="80" t="s">
        <v>118</v>
      </c>
      <c r="F172" s="80" t="s">
        <v>117</v>
      </c>
      <c r="G172" s="80" t="s">
        <v>79</v>
      </c>
      <c r="H172" s="80" t="s">
        <v>119</v>
      </c>
      <c r="I172" s="80" t="s">
        <v>79</v>
      </c>
      <c r="J172" s="80" t="s">
        <v>120</v>
      </c>
      <c r="K172" s="106"/>
      <c r="L172" s="106"/>
      <c r="M172" s="106"/>
      <c r="O172" s="25" t="s">
        <v>121</v>
      </c>
      <c r="P172" s="25" t="s">
        <v>122</v>
      </c>
    </row>
    <row r="173" spans="1:16" x14ac:dyDescent="0.2">
      <c r="A173" s="81"/>
      <c r="B173" s="82"/>
      <c r="C173" s="82"/>
      <c r="D173" s="28"/>
      <c r="E173" s="107"/>
      <c r="F173" s="28"/>
      <c r="G173" s="83"/>
      <c r="H173" s="107"/>
      <c r="I173" s="83"/>
      <c r="J173" s="108"/>
      <c r="K173" s="108"/>
      <c r="L173" s="108"/>
      <c r="M173" s="108"/>
      <c r="O173" s="109"/>
      <c r="P173" s="109"/>
    </row>
    <row r="174" spans="1:16" x14ac:dyDescent="0.2">
      <c r="A174" s="81" t="s">
        <v>81</v>
      </c>
      <c r="B174" s="82" t="s">
        <v>82</v>
      </c>
      <c r="C174" s="82"/>
      <c r="D174" s="28" t="s">
        <v>123</v>
      </c>
      <c r="E174" s="107" t="s">
        <v>123</v>
      </c>
      <c r="F174" s="28" t="s">
        <v>124</v>
      </c>
      <c r="G174" s="83">
        <f>I174</f>
        <v>3775926.7799999979</v>
      </c>
      <c r="H174" s="107" t="s">
        <v>123</v>
      </c>
      <c r="I174" s="83">
        <f>B16</f>
        <v>3775926.7799999979</v>
      </c>
      <c r="J174" s="108">
        <v>0</v>
      </c>
      <c r="K174" s="108"/>
      <c r="L174" s="108"/>
      <c r="M174" s="108"/>
      <c r="O174" s="109">
        <f>I174/I$267</f>
        <v>6.1074204737444147E-2</v>
      </c>
      <c r="P174" s="110">
        <f>O174*J174</f>
        <v>0</v>
      </c>
    </row>
    <row r="175" spans="1:16" x14ac:dyDescent="0.2">
      <c r="A175" s="81"/>
      <c r="B175" s="82"/>
      <c r="C175" s="82"/>
      <c r="D175" s="28"/>
      <c r="E175" s="107"/>
      <c r="F175" s="28"/>
      <c r="G175" s="83"/>
      <c r="H175" s="107"/>
      <c r="I175" s="83"/>
      <c r="J175" s="108"/>
      <c r="K175" s="108"/>
      <c r="L175" s="108"/>
      <c r="M175" s="108"/>
      <c r="O175" s="109"/>
      <c r="P175" s="110"/>
    </row>
    <row r="176" spans="1:16" x14ac:dyDescent="0.2">
      <c r="A176" s="81" t="s">
        <v>81</v>
      </c>
      <c r="B176" s="82" t="s">
        <v>125</v>
      </c>
      <c r="C176" s="82"/>
      <c r="D176" s="28" t="s">
        <v>123</v>
      </c>
      <c r="E176" s="107" t="s">
        <v>123</v>
      </c>
      <c r="F176" s="28" t="s">
        <v>124</v>
      </c>
      <c r="G176" s="83">
        <f>I176</f>
        <v>0</v>
      </c>
      <c r="H176" s="107" t="s">
        <v>123</v>
      </c>
      <c r="I176" s="83">
        <f>C16</f>
        <v>0</v>
      </c>
      <c r="J176" s="108">
        <v>2.5000000000000001E-3</v>
      </c>
      <c r="K176" s="108"/>
      <c r="L176" s="108"/>
      <c r="M176" s="108"/>
      <c r="O176" s="109">
        <f>I176/I$267</f>
        <v>0</v>
      </c>
      <c r="P176" s="110">
        <f>O176*J176</f>
        <v>0</v>
      </c>
    </row>
    <row r="177" spans="1:16" x14ac:dyDescent="0.2">
      <c r="A177" s="81"/>
      <c r="B177" s="82"/>
      <c r="C177" s="82"/>
      <c r="D177" s="28"/>
      <c r="E177" s="107"/>
      <c r="F177" s="28"/>
      <c r="G177" s="83"/>
      <c r="H177" s="107"/>
      <c r="I177" s="83"/>
      <c r="J177" s="108"/>
      <c r="K177" s="108"/>
      <c r="L177" s="108"/>
      <c r="M177" s="108"/>
      <c r="O177" s="109"/>
      <c r="P177" s="110"/>
    </row>
    <row r="178" spans="1:16" x14ac:dyDescent="0.2">
      <c r="A178" s="81" t="s">
        <v>126</v>
      </c>
      <c r="B178" s="28" t="s">
        <v>123</v>
      </c>
      <c r="C178" s="28"/>
      <c r="D178" s="28" t="s">
        <v>123</v>
      </c>
      <c r="E178" s="107" t="s">
        <v>123</v>
      </c>
      <c r="F178" s="28" t="s">
        <v>124</v>
      </c>
      <c r="G178" s="83">
        <f>I178</f>
        <v>3000</v>
      </c>
      <c r="H178" s="107" t="s">
        <v>123</v>
      </c>
      <c r="I178" s="83">
        <f>D16</f>
        <v>3000</v>
      </c>
      <c r="J178" s="108">
        <v>0</v>
      </c>
      <c r="K178" s="108"/>
      <c r="L178" s="108"/>
      <c r="M178" s="108"/>
      <c r="O178" s="109">
        <f>I178/I$267</f>
        <v>4.8523879007085133E-5</v>
      </c>
      <c r="P178" s="110">
        <f>O178*J178</f>
        <v>0</v>
      </c>
    </row>
    <row r="179" spans="1:16" x14ac:dyDescent="0.2">
      <c r="A179" s="81"/>
      <c r="B179" s="28"/>
      <c r="C179" s="28"/>
      <c r="D179" s="28"/>
      <c r="E179" s="107"/>
      <c r="F179" s="28"/>
      <c r="G179" s="83"/>
      <c r="H179" s="107"/>
      <c r="I179" s="83"/>
      <c r="J179" s="108"/>
      <c r="K179" s="108"/>
      <c r="L179" s="108"/>
      <c r="M179" s="108"/>
      <c r="O179" s="109"/>
      <c r="P179" s="110"/>
    </row>
    <row r="180" spans="1:16" x14ac:dyDescent="0.2">
      <c r="A180" s="81" t="s">
        <v>86</v>
      </c>
      <c r="B180" s="82" t="s">
        <v>127</v>
      </c>
      <c r="C180" s="82"/>
      <c r="D180" s="28" t="s">
        <v>123</v>
      </c>
      <c r="E180" s="107" t="s">
        <v>123</v>
      </c>
      <c r="F180" s="28" t="s">
        <v>124</v>
      </c>
      <c r="G180" s="83">
        <f>I180</f>
        <v>31449001.909999996</v>
      </c>
      <c r="H180" s="107" t="s">
        <v>123</v>
      </c>
      <c r="I180" s="83">
        <f>E16</f>
        <v>31449001.909999996</v>
      </c>
      <c r="J180" s="108">
        <v>1.9980000000000001E-2</v>
      </c>
      <c r="K180" s="108"/>
      <c r="L180" s="108"/>
      <c r="M180" s="108"/>
      <c r="O180" s="109">
        <f>I180/I$267</f>
        <v>0.50867585452480968</v>
      </c>
      <c r="P180" s="110">
        <f>O180*J180</f>
        <v>1.0163343573405698E-2</v>
      </c>
    </row>
    <row r="181" spans="1:16" x14ac:dyDescent="0.2">
      <c r="A181" s="81"/>
      <c r="B181" s="82"/>
      <c r="C181" s="82"/>
      <c r="D181" s="28"/>
      <c r="E181" s="107"/>
      <c r="F181" s="28"/>
      <c r="G181" s="83"/>
      <c r="H181" s="107"/>
      <c r="I181" s="83"/>
      <c r="J181" s="108"/>
      <c r="K181" s="108"/>
      <c r="L181" s="108"/>
      <c r="M181" s="108"/>
      <c r="O181" s="109"/>
      <c r="P181" s="110"/>
    </row>
    <row r="182" spans="1:16" x14ac:dyDescent="0.2">
      <c r="A182" s="81" t="s">
        <v>128</v>
      </c>
      <c r="B182" s="82" t="s">
        <v>125</v>
      </c>
      <c r="C182" s="82"/>
      <c r="D182" s="111">
        <v>43154</v>
      </c>
      <c r="E182" s="28" t="s">
        <v>129</v>
      </c>
      <c r="F182" s="111">
        <v>43884</v>
      </c>
      <c r="G182" s="83">
        <f>I182</f>
        <v>250000</v>
      </c>
      <c r="H182" s="107"/>
      <c r="I182" s="83">
        <v>250000</v>
      </c>
      <c r="J182" s="108">
        <v>1.7500000000000002E-2</v>
      </c>
      <c r="K182" s="108"/>
      <c r="L182" s="108"/>
      <c r="M182" s="108"/>
      <c r="O182" s="109">
        <f>I182/I$267</f>
        <v>4.0436565839237605E-3</v>
      </c>
      <c r="P182" s="110">
        <f>O182*J182</f>
        <v>7.0763990218665812E-5</v>
      </c>
    </row>
    <row r="183" spans="1:16" x14ac:dyDescent="0.2">
      <c r="A183" s="81"/>
      <c r="B183" s="82"/>
      <c r="C183" s="82"/>
      <c r="D183" s="111"/>
      <c r="E183" s="28"/>
      <c r="F183" s="111"/>
      <c r="G183" s="83"/>
      <c r="H183" s="107"/>
      <c r="I183" s="83"/>
      <c r="J183" s="108"/>
      <c r="K183" s="108"/>
      <c r="L183" s="108"/>
      <c r="M183" s="108"/>
      <c r="O183" s="109"/>
      <c r="P183" s="110"/>
    </row>
    <row r="184" spans="1:16" x14ac:dyDescent="0.2">
      <c r="A184" s="81" t="s">
        <v>128</v>
      </c>
      <c r="B184" s="82" t="s">
        <v>125</v>
      </c>
      <c r="C184" s="82"/>
      <c r="D184" s="111">
        <v>43154</v>
      </c>
      <c r="E184" s="28" t="s">
        <v>129</v>
      </c>
      <c r="F184" s="111">
        <v>43884</v>
      </c>
      <c r="G184" s="83">
        <f>I184</f>
        <v>3854565.17</v>
      </c>
      <c r="H184" s="107"/>
      <c r="I184" s="83">
        <f>F16-250000</f>
        <v>3854565.17</v>
      </c>
      <c r="J184" s="108">
        <v>1.6E-2</v>
      </c>
      <c r="K184" s="108"/>
      <c r="L184" s="108"/>
      <c r="M184" s="108"/>
      <c r="O184" s="109">
        <f>I184/I$267</f>
        <v>6.2346151311334842E-2</v>
      </c>
      <c r="P184" s="110">
        <f>O184*J184</f>
        <v>9.9753842098135748E-4</v>
      </c>
    </row>
    <row r="185" spans="1:16" x14ac:dyDescent="0.2">
      <c r="A185" s="81"/>
      <c r="B185" s="82"/>
      <c r="C185" s="82"/>
      <c r="D185" s="28"/>
      <c r="E185" s="28"/>
      <c r="F185" s="28"/>
      <c r="G185" s="83"/>
      <c r="H185" s="83"/>
      <c r="I185" s="83"/>
      <c r="J185" s="28"/>
      <c r="K185" s="28"/>
      <c r="L185" s="28"/>
      <c r="M185" s="28"/>
      <c r="O185" s="25"/>
      <c r="P185" s="112"/>
    </row>
    <row r="186" spans="1:16" ht="22.5" x14ac:dyDescent="0.2">
      <c r="A186" s="14" t="s">
        <v>130</v>
      </c>
      <c r="B186" s="113" t="s">
        <v>131</v>
      </c>
      <c r="C186" s="114" t="s">
        <v>132</v>
      </c>
      <c r="D186" s="115">
        <v>42541</v>
      </c>
      <c r="E186" s="46" t="s">
        <v>133</v>
      </c>
      <c r="F186" s="115">
        <v>43725</v>
      </c>
      <c r="G186" s="116">
        <v>250000</v>
      </c>
      <c r="H186" s="116"/>
      <c r="I186" s="116">
        <v>250000</v>
      </c>
      <c r="J186" s="117">
        <v>1.2500000000000001E-2</v>
      </c>
      <c r="K186" s="117"/>
      <c r="L186" s="117"/>
      <c r="M186" s="108"/>
      <c r="O186" s="109">
        <f t="shared" ref="O186:O249" si="8">I186/I$267</f>
        <v>4.0436565839237605E-3</v>
      </c>
      <c r="P186" s="110">
        <f t="shared" ref="P186:P257" si="9">O186*J186</f>
        <v>5.0545707299047007E-5</v>
      </c>
    </row>
    <row r="187" spans="1:16" ht="22.5" x14ac:dyDescent="0.2">
      <c r="A187" s="14"/>
      <c r="B187" s="113" t="s">
        <v>134</v>
      </c>
      <c r="C187" s="114" t="s">
        <v>135</v>
      </c>
      <c r="D187" s="115">
        <v>43042</v>
      </c>
      <c r="E187" s="46" t="s">
        <v>136</v>
      </c>
      <c r="F187" s="115">
        <v>44868</v>
      </c>
      <c r="G187" s="116">
        <v>250000</v>
      </c>
      <c r="H187" s="116"/>
      <c r="I187" s="116">
        <v>250000</v>
      </c>
      <c r="J187" s="117">
        <v>2.1999999999999999E-2</v>
      </c>
      <c r="K187" s="117"/>
      <c r="L187" s="117"/>
      <c r="M187" s="108"/>
      <c r="O187" s="109">
        <f t="shared" si="8"/>
        <v>4.0436565839237605E-3</v>
      </c>
      <c r="P187" s="110">
        <f t="shared" si="9"/>
        <v>8.896044484632273E-5</v>
      </c>
    </row>
    <row r="188" spans="1:16" ht="22.5" x14ac:dyDescent="0.2">
      <c r="A188" s="14"/>
      <c r="B188" s="113" t="s">
        <v>137</v>
      </c>
      <c r="C188" s="114" t="s">
        <v>138</v>
      </c>
      <c r="D188" s="115">
        <v>43088</v>
      </c>
      <c r="E188" s="46" t="s">
        <v>139</v>
      </c>
      <c r="F188" s="115">
        <v>44550</v>
      </c>
      <c r="G188" s="116">
        <v>250000</v>
      </c>
      <c r="H188" s="116"/>
      <c r="I188" s="116">
        <v>250000</v>
      </c>
      <c r="J188" s="117">
        <v>2.1999999999999999E-2</v>
      </c>
      <c r="K188" s="117"/>
      <c r="L188" s="117"/>
      <c r="M188" s="108"/>
      <c r="O188" s="109">
        <f t="shared" si="8"/>
        <v>4.0436565839237605E-3</v>
      </c>
      <c r="P188" s="110">
        <f t="shared" si="9"/>
        <v>8.896044484632273E-5</v>
      </c>
    </row>
    <row r="189" spans="1:16" ht="22.5" x14ac:dyDescent="0.2">
      <c r="A189" s="14"/>
      <c r="B189" s="113" t="s">
        <v>140</v>
      </c>
      <c r="C189" s="114" t="s">
        <v>141</v>
      </c>
      <c r="D189" s="115">
        <v>42815</v>
      </c>
      <c r="E189" s="46" t="s">
        <v>136</v>
      </c>
      <c r="F189" s="115">
        <v>44656</v>
      </c>
      <c r="G189" s="116">
        <v>250000</v>
      </c>
      <c r="H189" s="116"/>
      <c r="I189" s="116">
        <v>250000</v>
      </c>
      <c r="J189" s="117">
        <v>2.4500000000000001E-2</v>
      </c>
      <c r="K189" s="117"/>
      <c r="L189" s="117"/>
      <c r="M189" s="108"/>
      <c r="O189" s="109">
        <f t="shared" si="8"/>
        <v>4.0436565839237605E-3</v>
      </c>
      <c r="P189" s="110">
        <f t="shared" si="9"/>
        <v>9.906958630613214E-5</v>
      </c>
    </row>
    <row r="190" spans="1:16" ht="22.5" x14ac:dyDescent="0.2">
      <c r="A190" s="14"/>
      <c r="B190" s="113" t="s">
        <v>142</v>
      </c>
      <c r="C190" s="114" t="s">
        <v>143</v>
      </c>
      <c r="D190" s="115">
        <v>42517</v>
      </c>
      <c r="E190" s="46" t="s">
        <v>144</v>
      </c>
      <c r="F190" s="115">
        <v>43613</v>
      </c>
      <c r="G190" s="116">
        <v>250000</v>
      </c>
      <c r="H190" s="82"/>
      <c r="I190" s="116">
        <v>250000</v>
      </c>
      <c r="J190" s="108">
        <v>1.15E-2</v>
      </c>
      <c r="K190" s="108"/>
      <c r="L190" s="108"/>
      <c r="M190" s="108"/>
      <c r="O190" s="109">
        <f t="shared" si="8"/>
        <v>4.0436565839237605E-3</v>
      </c>
      <c r="P190" s="110">
        <f t="shared" si="9"/>
        <v>4.6502050715123246E-5</v>
      </c>
    </row>
    <row r="191" spans="1:16" ht="22.5" x14ac:dyDescent="0.2">
      <c r="A191" s="14"/>
      <c r="B191" s="113" t="s">
        <v>145</v>
      </c>
      <c r="C191" s="114" t="s">
        <v>146</v>
      </c>
      <c r="D191" s="115">
        <v>42664</v>
      </c>
      <c r="E191" s="46" t="s">
        <v>144</v>
      </c>
      <c r="F191" s="115">
        <v>43759</v>
      </c>
      <c r="G191" s="116">
        <v>250000</v>
      </c>
      <c r="H191" s="116"/>
      <c r="I191" s="116">
        <v>250000</v>
      </c>
      <c r="J191" s="117">
        <v>1.2E-2</v>
      </c>
      <c r="K191" s="117"/>
      <c r="L191" s="117"/>
      <c r="M191" s="108"/>
      <c r="O191" s="109">
        <f t="shared" si="8"/>
        <v>4.0436565839237605E-3</v>
      </c>
      <c r="P191" s="110">
        <f t="shared" si="9"/>
        <v>4.8523879007085126E-5</v>
      </c>
    </row>
    <row r="192" spans="1:16" ht="22.5" x14ac:dyDescent="0.2">
      <c r="A192" s="14"/>
      <c r="B192" s="113" t="s">
        <v>147</v>
      </c>
      <c r="C192" s="114" t="s">
        <v>148</v>
      </c>
      <c r="D192" s="115">
        <v>43089</v>
      </c>
      <c r="E192" s="46" t="s">
        <v>139</v>
      </c>
      <c r="F192" s="115">
        <v>44550</v>
      </c>
      <c r="G192" s="116">
        <v>250000</v>
      </c>
      <c r="H192" s="116"/>
      <c r="I192" s="116">
        <v>250000</v>
      </c>
      <c r="J192" s="117">
        <v>2.1499999999999998E-2</v>
      </c>
      <c r="K192" s="117"/>
      <c r="L192" s="117"/>
      <c r="M192" s="108"/>
      <c r="O192" s="109">
        <f t="shared" si="8"/>
        <v>4.0436565839237605E-3</v>
      </c>
      <c r="P192" s="110">
        <f t="shared" si="9"/>
        <v>8.6938616554360843E-5</v>
      </c>
    </row>
    <row r="193" spans="1:16" ht="22.5" x14ac:dyDescent="0.2">
      <c r="A193" s="14"/>
      <c r="B193" s="113" t="s">
        <v>149</v>
      </c>
      <c r="C193" s="114" t="s">
        <v>150</v>
      </c>
      <c r="D193" s="115">
        <v>42627</v>
      </c>
      <c r="E193" s="46" t="s">
        <v>144</v>
      </c>
      <c r="F193" s="115">
        <v>43721</v>
      </c>
      <c r="G193" s="116">
        <v>250000</v>
      </c>
      <c r="H193" s="116"/>
      <c r="I193" s="116">
        <v>250000</v>
      </c>
      <c r="J193" s="117">
        <v>1.15E-2</v>
      </c>
      <c r="K193" s="117"/>
      <c r="L193" s="117"/>
      <c r="M193" s="108"/>
      <c r="O193" s="109">
        <f t="shared" si="8"/>
        <v>4.0436565839237605E-3</v>
      </c>
      <c r="P193" s="110">
        <f t="shared" si="9"/>
        <v>4.6502050715123246E-5</v>
      </c>
    </row>
    <row r="194" spans="1:16" ht="22.5" x14ac:dyDescent="0.2">
      <c r="A194" s="14"/>
      <c r="B194" s="113" t="s">
        <v>151</v>
      </c>
      <c r="C194" s="114" t="s">
        <v>152</v>
      </c>
      <c r="D194" s="115">
        <v>42928</v>
      </c>
      <c r="E194" s="46" t="s">
        <v>136</v>
      </c>
      <c r="F194" s="115">
        <v>44754</v>
      </c>
      <c r="G194" s="116">
        <v>250000</v>
      </c>
      <c r="H194" s="116"/>
      <c r="I194" s="116">
        <v>250000</v>
      </c>
      <c r="J194" s="117">
        <v>2.1999999999999999E-2</v>
      </c>
      <c r="K194" s="117"/>
      <c r="L194" s="117"/>
      <c r="M194" s="108"/>
      <c r="O194" s="109">
        <f t="shared" si="8"/>
        <v>4.0436565839237605E-3</v>
      </c>
      <c r="P194" s="110">
        <f t="shared" si="9"/>
        <v>8.896044484632273E-5</v>
      </c>
    </row>
    <row r="195" spans="1:16" x14ac:dyDescent="0.2">
      <c r="A195" s="14"/>
      <c r="B195" s="113" t="s">
        <v>153</v>
      </c>
      <c r="C195" s="114" t="s">
        <v>154</v>
      </c>
      <c r="D195" s="115">
        <v>42650</v>
      </c>
      <c r="E195" s="46" t="s">
        <v>139</v>
      </c>
      <c r="F195" s="115">
        <v>44111</v>
      </c>
      <c r="G195" s="116">
        <v>250000</v>
      </c>
      <c r="H195" s="116"/>
      <c r="I195" s="116">
        <v>250000</v>
      </c>
      <c r="J195" s="117">
        <v>1.35E-2</v>
      </c>
      <c r="K195" s="117"/>
      <c r="L195" s="117"/>
      <c r="M195" s="108"/>
      <c r="O195" s="109">
        <f t="shared" si="8"/>
        <v>4.0436565839237605E-3</v>
      </c>
      <c r="P195" s="110">
        <f t="shared" si="9"/>
        <v>5.4589363882970768E-5</v>
      </c>
    </row>
    <row r="196" spans="1:16" ht="22.5" x14ac:dyDescent="0.2">
      <c r="A196" s="14"/>
      <c r="B196" s="113" t="s">
        <v>155</v>
      </c>
      <c r="C196" s="114" t="s">
        <v>156</v>
      </c>
      <c r="D196" s="115">
        <v>42935</v>
      </c>
      <c r="E196" s="46" t="s">
        <v>136</v>
      </c>
      <c r="F196" s="115">
        <v>44761</v>
      </c>
      <c r="G196" s="116">
        <v>250000</v>
      </c>
      <c r="H196" s="116"/>
      <c r="I196" s="116">
        <v>250000</v>
      </c>
      <c r="J196" s="117">
        <v>2.0500000000000001E-2</v>
      </c>
      <c r="K196" s="117"/>
      <c r="L196" s="117"/>
      <c r="M196" s="108"/>
      <c r="O196" s="109">
        <f t="shared" si="8"/>
        <v>4.0436565839237605E-3</v>
      </c>
      <c r="P196" s="110">
        <f t="shared" si="9"/>
        <v>8.2894959970437096E-5</v>
      </c>
    </row>
    <row r="197" spans="1:16" ht="22.5" x14ac:dyDescent="0.2">
      <c r="A197" s="14"/>
      <c r="B197" s="113" t="s">
        <v>157</v>
      </c>
      <c r="C197" s="114" t="s">
        <v>158</v>
      </c>
      <c r="D197" s="115">
        <v>42601</v>
      </c>
      <c r="E197" s="46" t="s">
        <v>144</v>
      </c>
      <c r="F197" s="115">
        <v>43696</v>
      </c>
      <c r="G197" s="116">
        <v>250000</v>
      </c>
      <c r="H197" s="116"/>
      <c r="I197" s="116">
        <v>250000</v>
      </c>
      <c r="J197" s="117">
        <v>0.01</v>
      </c>
      <c r="K197" s="117"/>
      <c r="L197" s="117"/>
      <c r="M197" s="108"/>
      <c r="O197" s="109">
        <f t="shared" si="8"/>
        <v>4.0436565839237605E-3</v>
      </c>
      <c r="P197" s="110">
        <f t="shared" si="9"/>
        <v>4.0436565839237604E-5</v>
      </c>
    </row>
    <row r="198" spans="1:16" ht="22.5" x14ac:dyDescent="0.2">
      <c r="A198" s="14"/>
      <c r="B198" s="113" t="s">
        <v>159</v>
      </c>
      <c r="C198" s="114" t="s">
        <v>160</v>
      </c>
      <c r="D198" s="115">
        <v>42543</v>
      </c>
      <c r="E198" s="46" t="s">
        <v>133</v>
      </c>
      <c r="F198" s="115">
        <v>43731</v>
      </c>
      <c r="G198" s="116">
        <v>250000</v>
      </c>
      <c r="H198" s="116"/>
      <c r="I198" s="116">
        <v>250000</v>
      </c>
      <c r="J198" s="117">
        <v>1.2E-2</v>
      </c>
      <c r="K198" s="117"/>
      <c r="L198" s="117"/>
      <c r="M198" s="108"/>
      <c r="O198" s="109">
        <f t="shared" si="8"/>
        <v>4.0436565839237605E-3</v>
      </c>
      <c r="P198" s="110">
        <f t="shared" si="9"/>
        <v>4.8523879007085126E-5</v>
      </c>
    </row>
    <row r="199" spans="1:16" ht="22.5" x14ac:dyDescent="0.2">
      <c r="A199" s="14"/>
      <c r="B199" s="82" t="s">
        <v>161</v>
      </c>
      <c r="C199" s="118" t="s">
        <v>162</v>
      </c>
      <c r="D199" s="111">
        <v>42494</v>
      </c>
      <c r="E199" s="28" t="s">
        <v>144</v>
      </c>
      <c r="F199" s="111">
        <v>43591</v>
      </c>
      <c r="G199" s="116">
        <v>250000</v>
      </c>
      <c r="H199" s="82"/>
      <c r="I199" s="116">
        <v>250000</v>
      </c>
      <c r="J199" s="108">
        <v>1.2E-2</v>
      </c>
      <c r="K199" s="108"/>
      <c r="L199" s="108"/>
      <c r="M199" s="108"/>
      <c r="O199" s="109">
        <f t="shared" si="8"/>
        <v>4.0436565839237605E-3</v>
      </c>
      <c r="P199" s="110">
        <f t="shared" si="9"/>
        <v>4.8523879007085126E-5</v>
      </c>
    </row>
    <row r="200" spans="1:16" x14ac:dyDescent="0.2">
      <c r="A200" s="14"/>
      <c r="B200" s="113" t="s">
        <v>163</v>
      </c>
      <c r="C200" s="114" t="s">
        <v>164</v>
      </c>
      <c r="D200" s="115">
        <v>42656</v>
      </c>
      <c r="E200" s="46" t="s">
        <v>139</v>
      </c>
      <c r="F200" s="115">
        <v>44117</v>
      </c>
      <c r="G200" s="116">
        <v>250000</v>
      </c>
      <c r="H200" s="116"/>
      <c r="I200" s="116">
        <v>250000</v>
      </c>
      <c r="J200" s="117">
        <v>1.4E-2</v>
      </c>
      <c r="K200" s="117"/>
      <c r="L200" s="117"/>
      <c r="M200" s="108"/>
      <c r="O200" s="109">
        <f t="shared" si="8"/>
        <v>4.0436565839237605E-3</v>
      </c>
      <c r="P200" s="110">
        <f t="shared" si="9"/>
        <v>5.6611192174932648E-5</v>
      </c>
    </row>
    <row r="201" spans="1:16" x14ac:dyDescent="0.2">
      <c r="A201" s="14"/>
      <c r="B201" s="113" t="s">
        <v>165</v>
      </c>
      <c r="C201" s="114" t="s">
        <v>166</v>
      </c>
      <c r="D201" s="115">
        <v>42536</v>
      </c>
      <c r="E201" s="46" t="s">
        <v>144</v>
      </c>
      <c r="F201" s="115">
        <v>43630</v>
      </c>
      <c r="G201" s="116">
        <v>250000</v>
      </c>
      <c r="H201" s="116"/>
      <c r="I201" s="116">
        <v>250000</v>
      </c>
      <c r="J201" s="117">
        <v>1.2E-2</v>
      </c>
      <c r="K201" s="117"/>
      <c r="L201" s="117"/>
      <c r="M201" s="108"/>
      <c r="O201" s="109">
        <f t="shared" si="8"/>
        <v>4.0436565839237605E-3</v>
      </c>
      <c r="P201" s="110">
        <f t="shared" si="9"/>
        <v>4.8523879007085126E-5</v>
      </c>
    </row>
    <row r="202" spans="1:16" ht="22.5" x14ac:dyDescent="0.2">
      <c r="A202" s="14"/>
      <c r="B202" s="113" t="s">
        <v>167</v>
      </c>
      <c r="C202" s="114" t="s">
        <v>168</v>
      </c>
      <c r="D202" s="115">
        <v>42594</v>
      </c>
      <c r="E202" s="46" t="s">
        <v>144</v>
      </c>
      <c r="F202" s="115">
        <v>43689</v>
      </c>
      <c r="G202" s="116">
        <v>250000</v>
      </c>
      <c r="H202" s="116"/>
      <c r="I202" s="116">
        <v>250000</v>
      </c>
      <c r="J202" s="117">
        <v>0.01</v>
      </c>
      <c r="K202" s="117"/>
      <c r="L202" s="117"/>
      <c r="M202" s="108"/>
      <c r="O202" s="109">
        <f t="shared" si="8"/>
        <v>4.0436565839237605E-3</v>
      </c>
      <c r="P202" s="110">
        <f t="shared" si="9"/>
        <v>4.0436565839237604E-5</v>
      </c>
    </row>
    <row r="203" spans="1:16" x14ac:dyDescent="0.2">
      <c r="A203" s="14"/>
      <c r="B203" s="113" t="s">
        <v>169</v>
      </c>
      <c r="C203" s="114" t="s">
        <v>170</v>
      </c>
      <c r="D203" s="115">
        <v>42536</v>
      </c>
      <c r="E203" s="46" t="s">
        <v>144</v>
      </c>
      <c r="F203" s="115">
        <v>43630</v>
      </c>
      <c r="G203" s="116">
        <v>250000</v>
      </c>
      <c r="H203" s="116"/>
      <c r="I203" s="116">
        <v>250000</v>
      </c>
      <c r="J203" s="117">
        <v>1.2E-2</v>
      </c>
      <c r="K203" s="117"/>
      <c r="L203" s="117"/>
      <c r="M203" s="108"/>
      <c r="O203" s="109">
        <f t="shared" si="8"/>
        <v>4.0436565839237605E-3</v>
      </c>
      <c r="P203" s="110">
        <f t="shared" si="9"/>
        <v>4.8523879007085126E-5</v>
      </c>
    </row>
    <row r="204" spans="1:16" ht="22.5" x14ac:dyDescent="0.2">
      <c r="A204" s="14"/>
      <c r="B204" s="113" t="s">
        <v>171</v>
      </c>
      <c r="C204" s="114" t="s">
        <v>172</v>
      </c>
      <c r="D204" s="115">
        <v>42563</v>
      </c>
      <c r="E204" s="46" t="s">
        <v>144</v>
      </c>
      <c r="F204" s="115">
        <v>43658</v>
      </c>
      <c r="G204" s="116">
        <v>250000</v>
      </c>
      <c r="H204" s="116"/>
      <c r="I204" s="116">
        <v>250000</v>
      </c>
      <c r="J204" s="117">
        <v>1.0500000000000001E-2</v>
      </c>
      <c r="K204" s="117"/>
      <c r="L204" s="117"/>
      <c r="M204" s="108"/>
      <c r="O204" s="109">
        <f t="shared" si="8"/>
        <v>4.0436565839237605E-3</v>
      </c>
      <c r="P204" s="110">
        <f t="shared" si="9"/>
        <v>4.2458394131199491E-5</v>
      </c>
    </row>
    <row r="205" spans="1:16" x14ac:dyDescent="0.2">
      <c r="A205" s="14"/>
      <c r="B205" s="119" t="s">
        <v>173</v>
      </c>
      <c r="C205" s="114" t="s">
        <v>174</v>
      </c>
      <c r="D205" s="115">
        <v>43154</v>
      </c>
      <c r="E205" s="46" t="s">
        <v>144</v>
      </c>
      <c r="F205" s="115">
        <v>44431</v>
      </c>
      <c r="G205" s="116">
        <v>250000</v>
      </c>
      <c r="H205" s="116"/>
      <c r="I205" s="116">
        <v>250000</v>
      </c>
      <c r="J205" s="117">
        <v>2.3E-2</v>
      </c>
      <c r="K205" s="117"/>
      <c r="L205" s="117"/>
      <c r="M205" s="108"/>
      <c r="O205" s="109">
        <f t="shared" si="8"/>
        <v>4.0436565839237605E-3</v>
      </c>
      <c r="P205" s="110">
        <f t="shared" si="9"/>
        <v>9.3004101430246491E-5</v>
      </c>
    </row>
    <row r="206" spans="1:16" x14ac:dyDescent="0.2">
      <c r="A206" s="14"/>
      <c r="B206" s="113" t="s">
        <v>175</v>
      </c>
      <c r="C206" s="114" t="s">
        <v>176</v>
      </c>
      <c r="D206" s="115">
        <v>42895</v>
      </c>
      <c r="E206" s="46" t="s">
        <v>136</v>
      </c>
      <c r="F206" s="115">
        <v>44721</v>
      </c>
      <c r="G206" s="116">
        <v>250000</v>
      </c>
      <c r="H206" s="116"/>
      <c r="I206" s="116">
        <v>250000</v>
      </c>
      <c r="J206" s="117">
        <v>2.0500000000000001E-2</v>
      </c>
      <c r="K206" s="117"/>
      <c r="L206" s="117"/>
      <c r="M206" s="108"/>
      <c r="O206" s="109">
        <f t="shared" si="8"/>
        <v>4.0436565839237605E-3</v>
      </c>
      <c r="P206" s="110">
        <f t="shared" si="9"/>
        <v>8.2894959970437096E-5</v>
      </c>
    </row>
    <row r="207" spans="1:16" x14ac:dyDescent="0.2">
      <c r="A207" s="14"/>
      <c r="B207" s="113" t="s">
        <v>177</v>
      </c>
      <c r="C207" s="114" t="s">
        <v>178</v>
      </c>
      <c r="D207" s="115">
        <v>42529</v>
      </c>
      <c r="E207" s="46" t="s">
        <v>144</v>
      </c>
      <c r="F207" s="115">
        <v>43626</v>
      </c>
      <c r="G207" s="116">
        <v>250000</v>
      </c>
      <c r="H207" s="116"/>
      <c r="I207" s="116">
        <v>250000</v>
      </c>
      <c r="J207" s="117">
        <v>1.15E-2</v>
      </c>
      <c r="K207" s="117"/>
      <c r="L207" s="117"/>
      <c r="M207" s="108"/>
      <c r="O207" s="109">
        <f t="shared" si="8"/>
        <v>4.0436565839237605E-3</v>
      </c>
      <c r="P207" s="110">
        <f t="shared" si="9"/>
        <v>4.6502050715123246E-5</v>
      </c>
    </row>
    <row r="208" spans="1:16" ht="22.5" x14ac:dyDescent="0.2">
      <c r="A208" s="14"/>
      <c r="B208" s="113" t="s">
        <v>179</v>
      </c>
      <c r="C208" s="114" t="s">
        <v>180</v>
      </c>
      <c r="D208" s="115">
        <v>42755</v>
      </c>
      <c r="E208" s="46" t="s">
        <v>136</v>
      </c>
      <c r="F208" s="115">
        <v>44581</v>
      </c>
      <c r="G208" s="116">
        <v>250000</v>
      </c>
      <c r="H208" s="116"/>
      <c r="I208" s="116">
        <v>250000</v>
      </c>
      <c r="J208" s="117">
        <v>0.02</v>
      </c>
      <c r="K208" s="117"/>
      <c r="L208" s="117"/>
      <c r="M208" s="108"/>
      <c r="O208" s="109">
        <f t="shared" si="8"/>
        <v>4.0436565839237605E-3</v>
      </c>
      <c r="P208" s="110">
        <f t="shared" si="9"/>
        <v>8.0873131678475208E-5</v>
      </c>
    </row>
    <row r="209" spans="1:16" x14ac:dyDescent="0.2">
      <c r="A209" s="14"/>
      <c r="B209" s="113" t="s">
        <v>181</v>
      </c>
      <c r="C209" s="114" t="s">
        <v>182</v>
      </c>
      <c r="D209" s="115">
        <v>43021</v>
      </c>
      <c r="E209" s="46" t="s">
        <v>139</v>
      </c>
      <c r="F209" s="115">
        <v>44482</v>
      </c>
      <c r="G209" s="116">
        <v>250000</v>
      </c>
      <c r="H209" s="116"/>
      <c r="I209" s="116">
        <v>250000</v>
      </c>
      <c r="J209" s="117">
        <v>0.02</v>
      </c>
      <c r="K209" s="117"/>
      <c r="L209" s="117"/>
      <c r="M209" s="108"/>
      <c r="O209" s="109">
        <f t="shared" si="8"/>
        <v>4.0436565839237605E-3</v>
      </c>
      <c r="P209" s="110">
        <f t="shared" si="9"/>
        <v>8.0873131678475208E-5</v>
      </c>
    </row>
    <row r="210" spans="1:16" ht="22.5" x14ac:dyDescent="0.2">
      <c r="A210" s="14"/>
      <c r="B210" s="113" t="s">
        <v>183</v>
      </c>
      <c r="C210" s="114" t="s">
        <v>184</v>
      </c>
      <c r="D210" s="115">
        <v>42594</v>
      </c>
      <c r="E210" s="46" t="s">
        <v>144</v>
      </c>
      <c r="F210" s="115">
        <v>43689</v>
      </c>
      <c r="G210" s="116">
        <v>250000</v>
      </c>
      <c r="H210" s="116"/>
      <c r="I210" s="116">
        <v>250000</v>
      </c>
      <c r="J210" s="117">
        <v>1.15E-2</v>
      </c>
      <c r="K210" s="117"/>
      <c r="L210" s="117"/>
      <c r="M210" s="108"/>
      <c r="O210" s="109">
        <f t="shared" si="8"/>
        <v>4.0436565839237605E-3</v>
      </c>
      <c r="P210" s="110">
        <f t="shared" si="9"/>
        <v>4.6502050715123246E-5</v>
      </c>
    </row>
    <row r="211" spans="1:16" ht="22.5" x14ac:dyDescent="0.2">
      <c r="A211" s="14"/>
      <c r="B211" s="113" t="s">
        <v>185</v>
      </c>
      <c r="C211" s="114" t="s">
        <v>186</v>
      </c>
      <c r="D211" s="115">
        <v>42753</v>
      </c>
      <c r="E211" s="46" t="s">
        <v>136</v>
      </c>
      <c r="F211" s="115">
        <v>44579</v>
      </c>
      <c r="G211" s="116">
        <v>250000</v>
      </c>
      <c r="H211" s="116"/>
      <c r="I211" s="116">
        <v>250000</v>
      </c>
      <c r="J211" s="117">
        <v>2.0500000000000001E-2</v>
      </c>
      <c r="K211" s="117"/>
      <c r="L211" s="117"/>
      <c r="M211" s="108"/>
      <c r="O211" s="109">
        <f t="shared" si="8"/>
        <v>4.0436565839237605E-3</v>
      </c>
      <c r="P211" s="110">
        <f t="shared" si="9"/>
        <v>8.2894959970437096E-5</v>
      </c>
    </row>
    <row r="212" spans="1:16" ht="22.5" x14ac:dyDescent="0.2">
      <c r="A212" s="14"/>
      <c r="B212" s="113" t="s">
        <v>187</v>
      </c>
      <c r="C212" s="114" t="s">
        <v>188</v>
      </c>
      <c r="D212" s="115">
        <v>42893</v>
      </c>
      <c r="E212" s="46" t="s">
        <v>136</v>
      </c>
      <c r="F212" s="115">
        <v>44719</v>
      </c>
      <c r="G212" s="116">
        <v>250000</v>
      </c>
      <c r="H212" s="116"/>
      <c r="I212" s="116">
        <v>250000</v>
      </c>
      <c r="J212" s="117">
        <v>2.1000000000000001E-2</v>
      </c>
      <c r="K212" s="117"/>
      <c r="L212" s="117"/>
      <c r="M212" s="108"/>
      <c r="O212" s="109">
        <f t="shared" si="8"/>
        <v>4.0436565839237605E-3</v>
      </c>
      <c r="P212" s="110">
        <f t="shared" si="9"/>
        <v>8.4916788262398983E-5</v>
      </c>
    </row>
    <row r="213" spans="1:16" ht="22.5" x14ac:dyDescent="0.2">
      <c r="A213" s="14"/>
      <c r="B213" s="113" t="s">
        <v>189</v>
      </c>
      <c r="C213" s="114" t="s">
        <v>190</v>
      </c>
      <c r="D213" s="115">
        <v>43152</v>
      </c>
      <c r="E213" s="46" t="s">
        <v>139</v>
      </c>
      <c r="F213" s="115">
        <v>44614</v>
      </c>
      <c r="G213" s="116">
        <v>250000</v>
      </c>
      <c r="H213" s="116"/>
      <c r="I213" s="116">
        <v>250000</v>
      </c>
      <c r="J213" s="117">
        <v>2.4500000000000001E-2</v>
      </c>
      <c r="K213" s="117"/>
      <c r="L213" s="117"/>
      <c r="M213" s="108"/>
      <c r="O213" s="109">
        <f t="shared" si="8"/>
        <v>4.0436565839237605E-3</v>
      </c>
      <c r="P213" s="110">
        <f t="shared" si="9"/>
        <v>9.906958630613214E-5</v>
      </c>
    </row>
    <row r="214" spans="1:16" ht="22.5" x14ac:dyDescent="0.2">
      <c r="A214" s="14"/>
      <c r="B214" s="113" t="s">
        <v>191</v>
      </c>
      <c r="C214" s="114" t="s">
        <v>192</v>
      </c>
      <c r="D214" s="115">
        <v>43117</v>
      </c>
      <c r="E214" s="46" t="s">
        <v>193</v>
      </c>
      <c r="F214" s="115">
        <v>44244</v>
      </c>
      <c r="G214" s="116">
        <v>250000</v>
      </c>
      <c r="H214" s="116"/>
      <c r="I214" s="116">
        <v>250000</v>
      </c>
      <c r="J214" s="117">
        <v>2.1499999999999998E-2</v>
      </c>
      <c r="K214" s="117"/>
      <c r="L214" s="117"/>
      <c r="M214" s="108"/>
      <c r="O214" s="109">
        <f t="shared" si="8"/>
        <v>4.0436565839237605E-3</v>
      </c>
      <c r="P214" s="110">
        <f t="shared" si="9"/>
        <v>8.6938616554360843E-5</v>
      </c>
    </row>
    <row r="215" spans="1:16" ht="22.5" x14ac:dyDescent="0.2">
      <c r="A215" s="14"/>
      <c r="B215" s="113" t="s">
        <v>194</v>
      </c>
      <c r="C215" s="114" t="s">
        <v>195</v>
      </c>
      <c r="D215" s="115">
        <v>42930</v>
      </c>
      <c r="E215" s="46" t="s">
        <v>136</v>
      </c>
      <c r="F215" s="115">
        <v>44756</v>
      </c>
      <c r="G215" s="116">
        <v>250000</v>
      </c>
      <c r="H215" s="116"/>
      <c r="I215" s="116">
        <v>250000</v>
      </c>
      <c r="J215" s="117">
        <v>2.0500000000000001E-2</v>
      </c>
      <c r="K215" s="117"/>
      <c r="L215" s="117"/>
      <c r="M215" s="108"/>
      <c r="O215" s="109">
        <f t="shared" si="8"/>
        <v>4.0436565839237605E-3</v>
      </c>
      <c r="P215" s="110">
        <f t="shared" si="9"/>
        <v>8.2894959970437096E-5</v>
      </c>
    </row>
    <row r="216" spans="1:16" ht="22.5" x14ac:dyDescent="0.2">
      <c r="A216" s="14"/>
      <c r="B216" s="113" t="s">
        <v>196</v>
      </c>
      <c r="C216" s="114" t="s">
        <v>197</v>
      </c>
      <c r="D216" s="115">
        <v>42755</v>
      </c>
      <c r="E216" s="46" t="s">
        <v>136</v>
      </c>
      <c r="F216" s="115">
        <v>44581</v>
      </c>
      <c r="G216" s="116">
        <v>250000</v>
      </c>
      <c r="H216" s="116"/>
      <c r="I216" s="116">
        <v>250000</v>
      </c>
      <c r="J216" s="117">
        <v>0.02</v>
      </c>
      <c r="K216" s="117"/>
      <c r="L216" s="117"/>
      <c r="M216" s="108"/>
      <c r="O216" s="109">
        <f t="shared" si="8"/>
        <v>4.0436565839237605E-3</v>
      </c>
      <c r="P216" s="110">
        <f t="shared" si="9"/>
        <v>8.0873131678475208E-5</v>
      </c>
    </row>
    <row r="217" spans="1:16" ht="22.5" x14ac:dyDescent="0.2">
      <c r="A217" s="14"/>
      <c r="B217" s="113" t="s">
        <v>198</v>
      </c>
      <c r="C217" s="114" t="s">
        <v>199</v>
      </c>
      <c r="D217" s="115">
        <v>43112</v>
      </c>
      <c r="E217" s="46" t="s">
        <v>200</v>
      </c>
      <c r="F217" s="115">
        <v>43934</v>
      </c>
      <c r="G217" s="116">
        <v>250000</v>
      </c>
      <c r="H217" s="116"/>
      <c r="I217" s="116">
        <v>250000</v>
      </c>
      <c r="J217" s="117">
        <v>0.02</v>
      </c>
      <c r="K217" s="117"/>
      <c r="L217" s="117"/>
      <c r="M217" s="108"/>
      <c r="O217" s="109">
        <f t="shared" si="8"/>
        <v>4.0436565839237605E-3</v>
      </c>
      <c r="P217" s="110">
        <f t="shared" si="9"/>
        <v>8.0873131678475208E-5</v>
      </c>
    </row>
    <row r="218" spans="1:16" x14ac:dyDescent="0.2">
      <c r="A218" s="14"/>
      <c r="B218" s="113" t="s">
        <v>201</v>
      </c>
      <c r="C218" s="114" t="s">
        <v>202</v>
      </c>
      <c r="D218" s="115">
        <v>42566</v>
      </c>
      <c r="E218" s="46" t="s">
        <v>144</v>
      </c>
      <c r="F218" s="115">
        <v>43661</v>
      </c>
      <c r="G218" s="116">
        <v>250000</v>
      </c>
      <c r="H218" s="116"/>
      <c r="I218" s="116">
        <v>250000</v>
      </c>
      <c r="J218" s="117">
        <v>0.01</v>
      </c>
      <c r="K218" s="117"/>
      <c r="L218" s="117"/>
      <c r="M218" s="108"/>
      <c r="O218" s="109">
        <f t="shared" si="8"/>
        <v>4.0436565839237605E-3</v>
      </c>
      <c r="P218" s="110">
        <f t="shared" si="9"/>
        <v>4.0436565839237604E-5</v>
      </c>
    </row>
    <row r="219" spans="1:16" ht="22.5" x14ac:dyDescent="0.2">
      <c r="A219" s="14"/>
      <c r="B219" s="113" t="s">
        <v>203</v>
      </c>
      <c r="C219" s="114" t="s">
        <v>204</v>
      </c>
      <c r="D219" s="115">
        <v>42622</v>
      </c>
      <c r="E219" s="46" t="s">
        <v>205</v>
      </c>
      <c r="F219" s="115">
        <v>43991</v>
      </c>
      <c r="G219" s="116">
        <v>250000</v>
      </c>
      <c r="H219" s="116"/>
      <c r="I219" s="116">
        <v>250000</v>
      </c>
      <c r="J219" s="117">
        <v>1.15E-2</v>
      </c>
      <c r="K219" s="117"/>
      <c r="L219" s="117"/>
      <c r="M219" s="108"/>
      <c r="O219" s="109">
        <f t="shared" si="8"/>
        <v>4.0436565839237605E-3</v>
      </c>
      <c r="P219" s="110">
        <f t="shared" si="9"/>
        <v>4.6502050715123246E-5</v>
      </c>
    </row>
    <row r="220" spans="1:16" x14ac:dyDescent="0.2">
      <c r="A220" s="14"/>
      <c r="B220" s="113" t="s">
        <v>206</v>
      </c>
      <c r="C220" s="114" t="s">
        <v>207</v>
      </c>
      <c r="D220" s="115">
        <v>42815</v>
      </c>
      <c r="E220" s="46" t="s">
        <v>136</v>
      </c>
      <c r="F220" s="115">
        <v>44641</v>
      </c>
      <c r="G220" s="116">
        <v>250000</v>
      </c>
      <c r="H220" s="116"/>
      <c r="I220" s="116">
        <v>250000</v>
      </c>
      <c r="J220" s="117">
        <v>2.4500000000000001E-2</v>
      </c>
      <c r="K220" s="117"/>
      <c r="L220" s="117"/>
      <c r="M220" s="108"/>
      <c r="O220" s="109">
        <f t="shared" si="8"/>
        <v>4.0436565839237605E-3</v>
      </c>
      <c r="P220" s="110">
        <f t="shared" si="9"/>
        <v>9.906958630613214E-5</v>
      </c>
    </row>
    <row r="221" spans="1:16" ht="22.5" x14ac:dyDescent="0.2">
      <c r="A221" s="14"/>
      <c r="B221" s="113" t="s">
        <v>208</v>
      </c>
      <c r="C221" s="114" t="s">
        <v>209</v>
      </c>
      <c r="D221" s="115">
        <v>42762</v>
      </c>
      <c r="E221" s="46" t="s">
        <v>136</v>
      </c>
      <c r="F221" s="115">
        <v>44588</v>
      </c>
      <c r="G221" s="116">
        <v>250000</v>
      </c>
      <c r="H221" s="116"/>
      <c r="I221" s="116">
        <v>250000</v>
      </c>
      <c r="J221" s="117">
        <v>1.9E-2</v>
      </c>
      <c r="K221" s="117"/>
      <c r="L221" s="117"/>
      <c r="M221" s="108"/>
      <c r="O221" s="109">
        <f t="shared" si="8"/>
        <v>4.0436565839237605E-3</v>
      </c>
      <c r="P221" s="110">
        <f t="shared" si="9"/>
        <v>7.6829475094551447E-5</v>
      </c>
    </row>
    <row r="222" spans="1:16" ht="22.5" x14ac:dyDescent="0.2">
      <c r="A222" s="14"/>
      <c r="B222" s="113" t="s">
        <v>210</v>
      </c>
      <c r="C222" s="114" t="s">
        <v>211</v>
      </c>
      <c r="D222" s="115">
        <v>42690</v>
      </c>
      <c r="E222" s="46" t="s">
        <v>193</v>
      </c>
      <c r="F222" s="115">
        <v>43815</v>
      </c>
      <c r="G222" s="116">
        <v>250000</v>
      </c>
      <c r="H222" s="116"/>
      <c r="I222" s="116">
        <v>250000</v>
      </c>
      <c r="J222" s="117">
        <v>1.15E-2</v>
      </c>
      <c r="K222" s="117"/>
      <c r="L222" s="117"/>
      <c r="M222" s="108"/>
      <c r="O222" s="109">
        <f t="shared" si="8"/>
        <v>4.0436565839237605E-3</v>
      </c>
      <c r="P222" s="110">
        <f t="shared" si="9"/>
        <v>4.6502050715123246E-5</v>
      </c>
    </row>
    <row r="223" spans="1:16" ht="22.5" x14ac:dyDescent="0.2">
      <c r="A223" s="14"/>
      <c r="B223" s="113" t="s">
        <v>212</v>
      </c>
      <c r="C223" s="114" t="s">
        <v>213</v>
      </c>
      <c r="D223" s="115">
        <v>42888</v>
      </c>
      <c r="E223" s="46" t="s">
        <v>136</v>
      </c>
      <c r="F223" s="115">
        <v>44714</v>
      </c>
      <c r="G223" s="116">
        <v>250000</v>
      </c>
      <c r="H223" s="116"/>
      <c r="I223" s="116">
        <v>250000</v>
      </c>
      <c r="J223" s="117">
        <v>2.0500000000000001E-2</v>
      </c>
      <c r="K223" s="117"/>
      <c r="L223" s="117"/>
      <c r="M223" s="108"/>
      <c r="O223" s="109">
        <f t="shared" si="8"/>
        <v>4.0436565839237605E-3</v>
      </c>
      <c r="P223" s="110">
        <f t="shared" si="9"/>
        <v>8.2894959970437096E-5</v>
      </c>
    </row>
    <row r="224" spans="1:16" ht="22.5" x14ac:dyDescent="0.2">
      <c r="A224" s="14"/>
      <c r="B224" s="113" t="s">
        <v>214</v>
      </c>
      <c r="C224" s="114" t="s">
        <v>215</v>
      </c>
      <c r="D224" s="115">
        <v>43028</v>
      </c>
      <c r="E224" s="46" t="s">
        <v>216</v>
      </c>
      <c r="F224" s="115">
        <v>44671</v>
      </c>
      <c r="G224" s="116">
        <v>250000</v>
      </c>
      <c r="H224" s="116"/>
      <c r="I224" s="116">
        <v>250000</v>
      </c>
      <c r="J224" s="117">
        <v>2.1000000000000001E-2</v>
      </c>
      <c r="K224" s="117"/>
      <c r="L224" s="117"/>
      <c r="M224" s="108"/>
      <c r="O224" s="109">
        <f t="shared" si="8"/>
        <v>4.0436565839237605E-3</v>
      </c>
      <c r="P224" s="110">
        <f t="shared" si="9"/>
        <v>8.4916788262398983E-5</v>
      </c>
    </row>
    <row r="225" spans="1:16" x14ac:dyDescent="0.2">
      <c r="A225" s="14"/>
      <c r="B225" s="113" t="s">
        <v>217</v>
      </c>
      <c r="C225" s="114" t="s">
        <v>218</v>
      </c>
      <c r="D225" s="115">
        <v>42620</v>
      </c>
      <c r="E225" s="46" t="s">
        <v>144</v>
      </c>
      <c r="F225" s="115">
        <v>43717</v>
      </c>
      <c r="G225" s="116">
        <v>250000</v>
      </c>
      <c r="H225" s="116"/>
      <c r="I225" s="116">
        <v>250000</v>
      </c>
      <c r="J225" s="117">
        <v>1.15E-2</v>
      </c>
      <c r="K225" s="117"/>
      <c r="L225" s="117"/>
      <c r="M225" s="108"/>
      <c r="O225" s="109">
        <f t="shared" si="8"/>
        <v>4.0436565839237605E-3</v>
      </c>
      <c r="P225" s="110">
        <f t="shared" si="9"/>
        <v>4.6502050715123246E-5</v>
      </c>
    </row>
    <row r="226" spans="1:16" ht="22.5" x14ac:dyDescent="0.2">
      <c r="A226" s="14"/>
      <c r="B226" s="113" t="s">
        <v>219</v>
      </c>
      <c r="C226" s="114" t="s">
        <v>220</v>
      </c>
      <c r="D226" s="115">
        <v>42781</v>
      </c>
      <c r="E226" s="46" t="s">
        <v>136</v>
      </c>
      <c r="F226" s="115">
        <v>44607</v>
      </c>
      <c r="G226" s="116">
        <v>250000</v>
      </c>
      <c r="H226" s="116"/>
      <c r="I226" s="116">
        <v>250000</v>
      </c>
      <c r="J226" s="117">
        <v>2.3E-2</v>
      </c>
      <c r="K226" s="117"/>
      <c r="L226" s="117"/>
      <c r="M226" s="108"/>
      <c r="O226" s="109">
        <f t="shared" si="8"/>
        <v>4.0436565839237605E-3</v>
      </c>
      <c r="P226" s="110">
        <f t="shared" si="9"/>
        <v>9.3004101430246491E-5</v>
      </c>
    </row>
    <row r="227" spans="1:16" x14ac:dyDescent="0.2">
      <c r="A227" s="14"/>
      <c r="B227" s="113" t="s">
        <v>221</v>
      </c>
      <c r="C227" s="114" t="s">
        <v>222</v>
      </c>
      <c r="D227" s="115">
        <v>43112</v>
      </c>
      <c r="E227" s="46" t="s">
        <v>136</v>
      </c>
      <c r="F227" s="115">
        <v>44938</v>
      </c>
      <c r="G227" s="116">
        <v>250000</v>
      </c>
      <c r="H227" s="116"/>
      <c r="I227" s="116">
        <v>250000</v>
      </c>
      <c r="J227" s="117">
        <v>2.35E-2</v>
      </c>
      <c r="K227" s="117"/>
      <c r="L227" s="117"/>
      <c r="M227" s="108"/>
      <c r="O227" s="109">
        <f t="shared" si="8"/>
        <v>4.0436565839237605E-3</v>
      </c>
      <c r="P227" s="110">
        <f t="shared" si="9"/>
        <v>9.5025929722208379E-5</v>
      </c>
    </row>
    <row r="228" spans="1:16" x14ac:dyDescent="0.2">
      <c r="A228" s="14"/>
      <c r="B228" s="113" t="s">
        <v>223</v>
      </c>
      <c r="C228" s="114" t="s">
        <v>224</v>
      </c>
      <c r="D228" s="115">
        <v>42748</v>
      </c>
      <c r="E228" s="46" t="s">
        <v>216</v>
      </c>
      <c r="F228" s="115">
        <v>44390</v>
      </c>
      <c r="G228" s="116">
        <v>250000</v>
      </c>
      <c r="H228" s="116"/>
      <c r="I228" s="116">
        <v>250000</v>
      </c>
      <c r="J228" s="117">
        <v>1.95E-2</v>
      </c>
      <c r="K228" s="117"/>
      <c r="L228" s="117"/>
      <c r="M228" s="108"/>
      <c r="O228" s="109">
        <f t="shared" si="8"/>
        <v>4.0436565839237605E-3</v>
      </c>
      <c r="P228" s="110">
        <f t="shared" si="9"/>
        <v>7.8851303386513334E-5</v>
      </c>
    </row>
    <row r="229" spans="1:16" ht="22.5" x14ac:dyDescent="0.2">
      <c r="A229" s="14"/>
      <c r="B229" s="113" t="s">
        <v>225</v>
      </c>
      <c r="C229" s="114" t="s">
        <v>226</v>
      </c>
      <c r="D229" s="115">
        <v>42601</v>
      </c>
      <c r="E229" s="46" t="s">
        <v>139</v>
      </c>
      <c r="F229" s="115">
        <v>44062</v>
      </c>
      <c r="G229" s="116">
        <v>250000</v>
      </c>
      <c r="H229" s="116"/>
      <c r="I229" s="116">
        <v>250000</v>
      </c>
      <c r="J229" s="117">
        <v>1.2500000000000001E-2</v>
      </c>
      <c r="K229" s="117"/>
      <c r="L229" s="117"/>
      <c r="M229" s="108"/>
      <c r="O229" s="109">
        <f t="shared" si="8"/>
        <v>4.0436565839237605E-3</v>
      </c>
      <c r="P229" s="110">
        <f t="shared" si="9"/>
        <v>5.0545707299047007E-5</v>
      </c>
    </row>
    <row r="230" spans="1:16" ht="22.5" x14ac:dyDescent="0.2">
      <c r="A230" s="14"/>
      <c r="B230" s="113" t="s">
        <v>227</v>
      </c>
      <c r="C230" s="114" t="s">
        <v>228</v>
      </c>
      <c r="D230" s="115">
        <v>42559</v>
      </c>
      <c r="E230" s="46" t="s">
        <v>139</v>
      </c>
      <c r="F230" s="115">
        <v>44020</v>
      </c>
      <c r="G230" s="116">
        <v>250000</v>
      </c>
      <c r="H230" s="116"/>
      <c r="I230" s="116">
        <v>250000</v>
      </c>
      <c r="J230" s="117">
        <v>1.15E-2</v>
      </c>
      <c r="K230" s="117"/>
      <c r="L230" s="117"/>
      <c r="M230" s="108"/>
      <c r="O230" s="109">
        <f t="shared" si="8"/>
        <v>4.0436565839237605E-3</v>
      </c>
      <c r="P230" s="110">
        <f t="shared" si="9"/>
        <v>4.6502050715123246E-5</v>
      </c>
    </row>
    <row r="231" spans="1:16" x14ac:dyDescent="0.2">
      <c r="A231" s="14"/>
      <c r="B231" s="113" t="s">
        <v>229</v>
      </c>
      <c r="C231" s="114" t="s">
        <v>230</v>
      </c>
      <c r="D231" s="115">
        <v>43098</v>
      </c>
      <c r="E231" s="46" t="s">
        <v>144</v>
      </c>
      <c r="F231" s="115">
        <v>44194</v>
      </c>
      <c r="G231" s="116">
        <v>250000</v>
      </c>
      <c r="H231" s="116"/>
      <c r="I231" s="116">
        <v>250000</v>
      </c>
      <c r="J231" s="117">
        <v>2.1999999999999999E-2</v>
      </c>
      <c r="K231" s="117"/>
      <c r="L231" s="117"/>
      <c r="M231" s="108"/>
      <c r="O231" s="109">
        <f t="shared" si="8"/>
        <v>4.0436565839237605E-3</v>
      </c>
      <c r="P231" s="110">
        <f t="shared" si="9"/>
        <v>8.896044484632273E-5</v>
      </c>
    </row>
    <row r="232" spans="1:16" x14ac:dyDescent="0.2">
      <c r="A232" s="14"/>
      <c r="B232" s="113" t="s">
        <v>231</v>
      </c>
      <c r="C232" s="114" t="s">
        <v>232</v>
      </c>
      <c r="D232" s="115">
        <v>43019</v>
      </c>
      <c r="E232" s="46" t="s">
        <v>136</v>
      </c>
      <c r="F232" s="115">
        <v>44845</v>
      </c>
      <c r="G232" s="116">
        <v>250000</v>
      </c>
      <c r="H232" s="116"/>
      <c r="I232" s="116">
        <v>250000</v>
      </c>
      <c r="J232" s="117">
        <v>2.1000000000000001E-2</v>
      </c>
      <c r="K232" s="117"/>
      <c r="L232" s="117"/>
      <c r="M232" s="108"/>
      <c r="O232" s="109">
        <f t="shared" si="8"/>
        <v>4.0436565839237605E-3</v>
      </c>
      <c r="P232" s="110">
        <f t="shared" si="9"/>
        <v>8.4916788262398983E-5</v>
      </c>
    </row>
    <row r="233" spans="1:16" x14ac:dyDescent="0.2">
      <c r="A233" s="14"/>
      <c r="B233" s="113" t="s">
        <v>233</v>
      </c>
      <c r="C233" s="114" t="s">
        <v>234</v>
      </c>
      <c r="D233" s="115">
        <v>43119</v>
      </c>
      <c r="E233" s="46" t="s">
        <v>136</v>
      </c>
      <c r="F233" s="115">
        <v>44945</v>
      </c>
      <c r="G233" s="116">
        <v>250000</v>
      </c>
      <c r="H233" s="116"/>
      <c r="I233" s="116">
        <v>250000</v>
      </c>
      <c r="J233" s="117">
        <v>2.35E-2</v>
      </c>
      <c r="K233" s="117"/>
      <c r="L233" s="117"/>
      <c r="M233" s="108"/>
      <c r="O233" s="109">
        <f t="shared" si="8"/>
        <v>4.0436565839237605E-3</v>
      </c>
      <c r="P233" s="110">
        <f t="shared" si="9"/>
        <v>9.5025929722208379E-5</v>
      </c>
    </row>
    <row r="234" spans="1:16" ht="22.5" x14ac:dyDescent="0.2">
      <c r="A234" s="14"/>
      <c r="B234" s="113" t="s">
        <v>235</v>
      </c>
      <c r="C234" s="114" t="s">
        <v>236</v>
      </c>
      <c r="D234" s="115">
        <v>43090</v>
      </c>
      <c r="E234" s="46" t="s">
        <v>144</v>
      </c>
      <c r="F234" s="115">
        <v>44186</v>
      </c>
      <c r="G234" s="116">
        <v>250000</v>
      </c>
      <c r="H234" s="116"/>
      <c r="I234" s="116">
        <v>250000</v>
      </c>
      <c r="J234" s="117">
        <v>2.1499999999999998E-2</v>
      </c>
      <c r="K234" s="117"/>
      <c r="L234" s="117"/>
      <c r="M234" s="108"/>
      <c r="O234" s="109">
        <f t="shared" si="8"/>
        <v>4.0436565839237605E-3</v>
      </c>
      <c r="P234" s="110">
        <f t="shared" si="9"/>
        <v>8.6938616554360843E-5</v>
      </c>
    </row>
    <row r="235" spans="1:16" ht="21" customHeight="1" x14ac:dyDescent="0.2">
      <c r="A235" s="14"/>
      <c r="B235" s="113" t="s">
        <v>237</v>
      </c>
      <c r="C235" s="114" t="s">
        <v>238</v>
      </c>
      <c r="D235" s="115">
        <v>42985</v>
      </c>
      <c r="E235" s="46" t="s">
        <v>129</v>
      </c>
      <c r="F235" s="115">
        <v>43717</v>
      </c>
      <c r="G235" s="116">
        <v>250000</v>
      </c>
      <c r="H235" s="116"/>
      <c r="I235" s="116">
        <v>250000</v>
      </c>
      <c r="J235" s="117">
        <v>1.7500000000000002E-2</v>
      </c>
      <c r="K235" s="117"/>
      <c r="L235" s="117"/>
      <c r="M235" s="108"/>
      <c r="O235" s="109">
        <f t="shared" si="8"/>
        <v>4.0436565839237605E-3</v>
      </c>
      <c r="P235" s="110">
        <f t="shared" si="9"/>
        <v>7.0763990218665812E-5</v>
      </c>
    </row>
    <row r="236" spans="1:16" x14ac:dyDescent="0.2">
      <c r="A236" s="14"/>
      <c r="B236" s="113" t="s">
        <v>239</v>
      </c>
      <c r="C236" s="114" t="s">
        <v>240</v>
      </c>
      <c r="D236" s="115">
        <v>43119</v>
      </c>
      <c r="E236" s="46" t="s">
        <v>144</v>
      </c>
      <c r="F236" s="115">
        <v>44215</v>
      </c>
      <c r="G236" s="116">
        <v>250000</v>
      </c>
      <c r="H236" s="116"/>
      <c r="I236" s="116">
        <v>250000</v>
      </c>
      <c r="J236" s="117">
        <v>2.1499999999999998E-2</v>
      </c>
      <c r="K236" s="117"/>
      <c r="L236" s="117"/>
      <c r="M236" s="108"/>
      <c r="O236" s="109">
        <f t="shared" si="8"/>
        <v>4.0436565839237605E-3</v>
      </c>
      <c r="P236" s="110">
        <f t="shared" si="9"/>
        <v>8.6938616554360843E-5</v>
      </c>
    </row>
    <row r="237" spans="1:16" x14ac:dyDescent="0.2">
      <c r="A237" s="14"/>
      <c r="B237" s="113" t="s">
        <v>241</v>
      </c>
      <c r="C237" s="114" t="s">
        <v>242</v>
      </c>
      <c r="D237" s="115">
        <v>43033</v>
      </c>
      <c r="E237" s="46" t="s">
        <v>136</v>
      </c>
      <c r="F237" s="115">
        <v>44859</v>
      </c>
      <c r="G237" s="116">
        <v>250000</v>
      </c>
      <c r="H237" s="116"/>
      <c r="I237" s="116">
        <v>250000</v>
      </c>
      <c r="J237" s="117">
        <v>2.1499999999999998E-2</v>
      </c>
      <c r="K237" s="117"/>
      <c r="L237" s="117"/>
      <c r="M237" s="108"/>
      <c r="O237" s="109">
        <f t="shared" si="8"/>
        <v>4.0436565839237605E-3</v>
      </c>
      <c r="P237" s="110">
        <f t="shared" si="9"/>
        <v>8.6938616554360843E-5</v>
      </c>
    </row>
    <row r="238" spans="1:16" ht="22.5" x14ac:dyDescent="0.2">
      <c r="A238" s="14"/>
      <c r="B238" s="113" t="s">
        <v>243</v>
      </c>
      <c r="C238" s="114" t="s">
        <v>244</v>
      </c>
      <c r="D238" s="115">
        <v>42521</v>
      </c>
      <c r="E238" s="46" t="s">
        <v>144</v>
      </c>
      <c r="F238" s="115">
        <v>43616</v>
      </c>
      <c r="G238" s="116">
        <v>250000</v>
      </c>
      <c r="H238" s="82"/>
      <c r="I238" s="116">
        <v>250000</v>
      </c>
      <c r="J238" s="108">
        <v>1.0999999999999999E-2</v>
      </c>
      <c r="K238" s="108"/>
      <c r="L238" s="108"/>
      <c r="M238" s="108"/>
      <c r="O238" s="109">
        <f t="shared" si="8"/>
        <v>4.0436565839237605E-3</v>
      </c>
      <c r="P238" s="110">
        <f t="shared" si="9"/>
        <v>4.4480222423161365E-5</v>
      </c>
    </row>
    <row r="239" spans="1:16" ht="22.5" x14ac:dyDescent="0.2">
      <c r="A239" s="14"/>
      <c r="B239" s="113" t="s">
        <v>245</v>
      </c>
      <c r="C239" s="114" t="s">
        <v>246</v>
      </c>
      <c r="D239" s="115">
        <v>42692</v>
      </c>
      <c r="E239" s="46" t="s">
        <v>144</v>
      </c>
      <c r="F239" s="115">
        <v>43787</v>
      </c>
      <c r="G239" s="116">
        <v>250000</v>
      </c>
      <c r="H239" s="116"/>
      <c r="I239" s="116">
        <v>250000</v>
      </c>
      <c r="J239" s="117">
        <v>1.0999999999999999E-2</v>
      </c>
      <c r="K239" s="117"/>
      <c r="L239" s="117"/>
      <c r="M239" s="108"/>
      <c r="O239" s="109">
        <f t="shared" si="8"/>
        <v>4.0436565839237605E-3</v>
      </c>
      <c r="P239" s="110">
        <f t="shared" si="9"/>
        <v>4.4480222423161365E-5</v>
      </c>
    </row>
    <row r="240" spans="1:16" ht="22.5" x14ac:dyDescent="0.2">
      <c r="A240" s="14"/>
      <c r="B240" s="113" t="s">
        <v>247</v>
      </c>
      <c r="C240" s="114" t="s">
        <v>248</v>
      </c>
      <c r="D240" s="115">
        <v>42753</v>
      </c>
      <c r="E240" s="46" t="s">
        <v>136</v>
      </c>
      <c r="F240" s="115">
        <v>44579</v>
      </c>
      <c r="G240" s="116">
        <v>250000</v>
      </c>
      <c r="H240" s="116"/>
      <c r="I240" s="116">
        <v>250000</v>
      </c>
      <c r="J240" s="117">
        <v>2.0500000000000001E-2</v>
      </c>
      <c r="K240" s="117"/>
      <c r="L240" s="117"/>
      <c r="M240" s="108"/>
      <c r="O240" s="109">
        <f t="shared" si="8"/>
        <v>4.0436565839237605E-3</v>
      </c>
      <c r="P240" s="110">
        <f t="shared" si="9"/>
        <v>8.2894959970437096E-5</v>
      </c>
    </row>
    <row r="241" spans="1:16" ht="22.5" x14ac:dyDescent="0.2">
      <c r="A241" s="14"/>
      <c r="B241" s="113" t="s">
        <v>249</v>
      </c>
      <c r="C241" s="114" t="s">
        <v>250</v>
      </c>
      <c r="D241" s="115">
        <v>42683</v>
      </c>
      <c r="E241" s="46" t="s">
        <v>144</v>
      </c>
      <c r="F241" s="115">
        <v>43777</v>
      </c>
      <c r="G241" s="116">
        <v>250000</v>
      </c>
      <c r="H241" s="116"/>
      <c r="I241" s="116">
        <v>250000</v>
      </c>
      <c r="J241" s="117">
        <v>1.15E-2</v>
      </c>
      <c r="K241" s="117"/>
      <c r="L241" s="117"/>
      <c r="M241" s="108"/>
      <c r="O241" s="109">
        <f t="shared" si="8"/>
        <v>4.0436565839237605E-3</v>
      </c>
      <c r="P241" s="110">
        <f t="shared" si="9"/>
        <v>4.6502050715123246E-5</v>
      </c>
    </row>
    <row r="242" spans="1:16" ht="22.5" x14ac:dyDescent="0.2">
      <c r="A242" s="14"/>
      <c r="B242" s="113" t="s">
        <v>251</v>
      </c>
      <c r="C242" s="114" t="s">
        <v>252</v>
      </c>
      <c r="D242" s="115">
        <v>42655</v>
      </c>
      <c r="E242" s="46" t="s">
        <v>144</v>
      </c>
      <c r="F242" s="115">
        <v>43753</v>
      </c>
      <c r="G242" s="116">
        <v>250000</v>
      </c>
      <c r="H242" s="116"/>
      <c r="I242" s="116">
        <v>250000</v>
      </c>
      <c r="J242" s="117">
        <v>1.2999999999999999E-2</v>
      </c>
      <c r="K242" s="117"/>
      <c r="L242" s="117"/>
      <c r="M242" s="108"/>
      <c r="O242" s="109">
        <f t="shared" si="8"/>
        <v>4.0436565839237605E-3</v>
      </c>
      <c r="P242" s="110">
        <f t="shared" si="9"/>
        <v>5.2567535591008887E-5</v>
      </c>
    </row>
    <row r="243" spans="1:16" ht="22.5" x14ac:dyDescent="0.2">
      <c r="A243" s="14"/>
      <c r="B243" s="113" t="s">
        <v>253</v>
      </c>
      <c r="C243" s="114" t="s">
        <v>254</v>
      </c>
      <c r="D243" s="115">
        <v>42566</v>
      </c>
      <c r="E243" s="46" t="s">
        <v>139</v>
      </c>
      <c r="F243" s="115">
        <v>44027</v>
      </c>
      <c r="G243" s="116">
        <v>250000</v>
      </c>
      <c r="H243" s="116"/>
      <c r="I243" s="116">
        <v>250000</v>
      </c>
      <c r="J243" s="117">
        <v>1.15E-2</v>
      </c>
      <c r="K243" s="117"/>
      <c r="L243" s="117"/>
      <c r="M243" s="108"/>
      <c r="O243" s="109">
        <f t="shared" si="8"/>
        <v>4.0436565839237605E-3</v>
      </c>
      <c r="P243" s="110">
        <f t="shared" si="9"/>
        <v>4.6502050715123246E-5</v>
      </c>
    </row>
    <row r="244" spans="1:16" ht="22.5" x14ac:dyDescent="0.2">
      <c r="A244" s="14"/>
      <c r="B244" s="113" t="s">
        <v>255</v>
      </c>
      <c r="C244" s="114" t="s">
        <v>256</v>
      </c>
      <c r="D244" s="115">
        <v>43047</v>
      </c>
      <c r="E244" s="46" t="s">
        <v>136</v>
      </c>
      <c r="F244" s="115">
        <v>44873</v>
      </c>
      <c r="G244" s="116">
        <v>250000</v>
      </c>
      <c r="H244" s="116"/>
      <c r="I244" s="116">
        <v>250000</v>
      </c>
      <c r="J244" s="117">
        <v>2.1499999999999998E-2</v>
      </c>
      <c r="K244" s="117"/>
      <c r="L244" s="117"/>
      <c r="M244" s="108"/>
      <c r="O244" s="109">
        <f t="shared" si="8"/>
        <v>4.0436565839237605E-3</v>
      </c>
      <c r="P244" s="110">
        <f t="shared" si="9"/>
        <v>8.6938616554360843E-5</v>
      </c>
    </row>
    <row r="245" spans="1:16" ht="22.5" x14ac:dyDescent="0.2">
      <c r="A245" s="14"/>
      <c r="B245" s="113" t="s">
        <v>257</v>
      </c>
      <c r="C245" s="114" t="s">
        <v>258</v>
      </c>
      <c r="D245" s="115">
        <v>43089</v>
      </c>
      <c r="E245" s="46" t="s">
        <v>259</v>
      </c>
      <c r="F245" s="115">
        <v>44306</v>
      </c>
      <c r="G245" s="116">
        <v>250000</v>
      </c>
      <c r="H245" s="116"/>
      <c r="I245" s="116">
        <v>250000</v>
      </c>
      <c r="J245" s="117">
        <v>0.02</v>
      </c>
      <c r="K245" s="117"/>
      <c r="L245" s="117"/>
      <c r="M245" s="108"/>
      <c r="O245" s="109">
        <f t="shared" si="8"/>
        <v>4.0436565839237605E-3</v>
      </c>
      <c r="P245" s="110">
        <f t="shared" si="9"/>
        <v>8.0873131678475208E-5</v>
      </c>
    </row>
    <row r="246" spans="1:16" x14ac:dyDescent="0.2">
      <c r="A246" s="14"/>
      <c r="B246" s="113" t="s">
        <v>260</v>
      </c>
      <c r="C246" s="114" t="s">
        <v>261</v>
      </c>
      <c r="D246" s="115">
        <v>42748</v>
      </c>
      <c r="E246" s="46" t="s">
        <v>144</v>
      </c>
      <c r="F246" s="115">
        <v>43843</v>
      </c>
      <c r="G246" s="116">
        <v>250000</v>
      </c>
      <c r="H246" s="116"/>
      <c r="I246" s="116">
        <v>250000</v>
      </c>
      <c r="J246" s="117">
        <v>1.6E-2</v>
      </c>
      <c r="K246" s="117"/>
      <c r="L246" s="117"/>
      <c r="M246" s="108"/>
      <c r="O246" s="109">
        <f t="shared" si="8"/>
        <v>4.0436565839237605E-3</v>
      </c>
      <c r="P246" s="110">
        <f t="shared" si="9"/>
        <v>6.4698505342780164E-5</v>
      </c>
    </row>
    <row r="247" spans="1:16" ht="22.5" x14ac:dyDescent="0.2">
      <c r="A247" s="14"/>
      <c r="B247" s="113" t="s">
        <v>262</v>
      </c>
      <c r="C247" s="114" t="s">
        <v>263</v>
      </c>
      <c r="D247" s="115">
        <v>43126</v>
      </c>
      <c r="E247" s="46" t="s">
        <v>264</v>
      </c>
      <c r="F247" s="115">
        <v>44403</v>
      </c>
      <c r="G247" s="116">
        <v>250000</v>
      </c>
      <c r="H247" s="116"/>
      <c r="I247" s="116">
        <v>250000</v>
      </c>
      <c r="J247" s="117">
        <v>2.1999999999999999E-2</v>
      </c>
      <c r="K247" s="117"/>
      <c r="L247" s="117"/>
      <c r="M247" s="108"/>
      <c r="O247" s="109">
        <f t="shared" si="8"/>
        <v>4.0436565839237605E-3</v>
      </c>
      <c r="P247" s="110">
        <f t="shared" si="9"/>
        <v>8.896044484632273E-5</v>
      </c>
    </row>
    <row r="248" spans="1:16" x14ac:dyDescent="0.2">
      <c r="A248" s="14"/>
      <c r="B248" s="113" t="s">
        <v>265</v>
      </c>
      <c r="C248" s="114" t="s">
        <v>266</v>
      </c>
      <c r="D248" s="115">
        <v>42976</v>
      </c>
      <c r="E248" s="46" t="s">
        <v>136</v>
      </c>
      <c r="F248" s="115">
        <v>44802</v>
      </c>
      <c r="G248" s="116">
        <v>250000</v>
      </c>
      <c r="H248" s="116"/>
      <c r="I248" s="116">
        <v>250000</v>
      </c>
      <c r="J248" s="117">
        <v>1.7999999999999999E-2</v>
      </c>
      <c r="K248" s="117"/>
      <c r="L248" s="117"/>
      <c r="M248" s="108"/>
      <c r="O248" s="109">
        <f t="shared" si="8"/>
        <v>4.0436565839237605E-3</v>
      </c>
      <c r="P248" s="110">
        <f t="shared" si="9"/>
        <v>7.2785818510627686E-5</v>
      </c>
    </row>
    <row r="249" spans="1:16" x14ac:dyDescent="0.2">
      <c r="A249" s="14"/>
      <c r="B249" s="113" t="s">
        <v>267</v>
      </c>
      <c r="C249" s="114" t="s">
        <v>268</v>
      </c>
      <c r="D249" s="115">
        <v>42888</v>
      </c>
      <c r="E249" s="46" t="s">
        <v>136</v>
      </c>
      <c r="F249" s="115">
        <v>44714</v>
      </c>
      <c r="G249" s="116">
        <v>250000</v>
      </c>
      <c r="H249" s="116"/>
      <c r="I249" s="116">
        <v>250000</v>
      </c>
      <c r="J249" s="117">
        <v>2.4E-2</v>
      </c>
      <c r="K249" s="117"/>
      <c r="L249" s="117"/>
      <c r="M249" s="108"/>
      <c r="O249" s="109">
        <f t="shared" si="8"/>
        <v>4.0436565839237605E-3</v>
      </c>
      <c r="P249" s="110">
        <f t="shared" si="9"/>
        <v>9.7047758014170253E-5</v>
      </c>
    </row>
    <row r="250" spans="1:16" ht="22.5" x14ac:dyDescent="0.2">
      <c r="A250" s="14"/>
      <c r="B250" s="113" t="s">
        <v>269</v>
      </c>
      <c r="C250" s="114" t="s">
        <v>270</v>
      </c>
      <c r="D250" s="115">
        <v>43063</v>
      </c>
      <c r="E250" s="46" t="s">
        <v>139</v>
      </c>
      <c r="F250" s="115">
        <v>44524</v>
      </c>
      <c r="G250" s="116">
        <v>250000</v>
      </c>
      <c r="H250" s="116"/>
      <c r="I250" s="116">
        <v>250000</v>
      </c>
      <c r="J250" s="117">
        <v>2.1000000000000001E-2</v>
      </c>
      <c r="K250" s="117"/>
      <c r="L250" s="117"/>
      <c r="M250" s="108"/>
      <c r="O250" s="109">
        <f t="shared" ref="O250:O257" si="10">I250/I$267</f>
        <v>4.0436565839237605E-3</v>
      </c>
      <c r="P250" s="110">
        <f t="shared" si="9"/>
        <v>8.4916788262398983E-5</v>
      </c>
    </row>
    <row r="251" spans="1:16" x14ac:dyDescent="0.2">
      <c r="A251" s="14"/>
      <c r="B251" s="113" t="s">
        <v>271</v>
      </c>
      <c r="C251" s="114" t="s">
        <v>272</v>
      </c>
      <c r="D251" s="115">
        <v>42523</v>
      </c>
      <c r="E251" s="46" t="s">
        <v>273</v>
      </c>
      <c r="F251" s="115">
        <v>43923</v>
      </c>
      <c r="G251" s="116">
        <v>250000</v>
      </c>
      <c r="H251" s="82"/>
      <c r="I251" s="116">
        <v>250000</v>
      </c>
      <c r="J251" s="108">
        <v>1.2500000000000001E-2</v>
      </c>
      <c r="K251" s="108"/>
      <c r="L251" s="108"/>
      <c r="M251" s="108"/>
      <c r="O251" s="109">
        <f t="shared" si="10"/>
        <v>4.0436565839237605E-3</v>
      </c>
      <c r="P251" s="110">
        <f t="shared" si="9"/>
        <v>5.0545707299047007E-5</v>
      </c>
    </row>
    <row r="252" spans="1:16" ht="22.5" x14ac:dyDescent="0.2">
      <c r="A252" s="14"/>
      <c r="B252" s="113" t="s">
        <v>274</v>
      </c>
      <c r="C252" s="114" t="s">
        <v>275</v>
      </c>
      <c r="D252" s="115">
        <v>42755</v>
      </c>
      <c r="E252" s="46" t="s">
        <v>264</v>
      </c>
      <c r="F252" s="115">
        <v>43668</v>
      </c>
      <c r="G252" s="116">
        <v>250000</v>
      </c>
      <c r="H252" s="116"/>
      <c r="I252" s="116">
        <v>250000</v>
      </c>
      <c r="J252" s="117">
        <v>1.4500000000000001E-2</v>
      </c>
      <c r="K252" s="117"/>
      <c r="L252" s="117"/>
      <c r="M252" s="108"/>
      <c r="O252" s="109">
        <f t="shared" si="10"/>
        <v>4.0436565839237605E-3</v>
      </c>
      <c r="P252" s="110">
        <f t="shared" si="9"/>
        <v>5.8633020466894529E-5</v>
      </c>
    </row>
    <row r="253" spans="1:16" ht="22.5" x14ac:dyDescent="0.2">
      <c r="A253" s="14"/>
      <c r="B253" s="113" t="s">
        <v>276</v>
      </c>
      <c r="C253" s="114" t="s">
        <v>277</v>
      </c>
      <c r="D253" s="115">
        <v>43020</v>
      </c>
      <c r="E253" s="46" t="s">
        <v>216</v>
      </c>
      <c r="F253" s="115">
        <v>44663</v>
      </c>
      <c r="G253" s="116">
        <v>250000</v>
      </c>
      <c r="H253" s="116"/>
      <c r="I253" s="116">
        <v>250000</v>
      </c>
      <c r="J253" s="117">
        <v>2.0500000000000001E-2</v>
      </c>
      <c r="K253" s="117"/>
      <c r="L253" s="117"/>
      <c r="M253" s="108"/>
      <c r="O253" s="109">
        <f t="shared" si="10"/>
        <v>4.0436565839237605E-3</v>
      </c>
      <c r="P253" s="110">
        <f t="shared" si="9"/>
        <v>8.2894959970437096E-5</v>
      </c>
    </row>
    <row r="254" spans="1:16" ht="22.5" x14ac:dyDescent="0.2">
      <c r="A254" s="14"/>
      <c r="B254" s="113" t="s">
        <v>278</v>
      </c>
      <c r="C254" s="114" t="s">
        <v>279</v>
      </c>
      <c r="D254" s="115">
        <v>42692</v>
      </c>
      <c r="E254" s="46" t="s">
        <v>144</v>
      </c>
      <c r="F254" s="115">
        <v>43787</v>
      </c>
      <c r="G254" s="116">
        <v>250000</v>
      </c>
      <c r="H254" s="116"/>
      <c r="I254" s="116">
        <v>250000</v>
      </c>
      <c r="J254" s="117">
        <v>1.35E-2</v>
      </c>
      <c r="K254" s="117"/>
      <c r="L254" s="117"/>
      <c r="M254" s="108"/>
      <c r="O254" s="109">
        <f t="shared" si="10"/>
        <v>4.0436565839237605E-3</v>
      </c>
      <c r="P254" s="110">
        <f t="shared" si="9"/>
        <v>5.4589363882970768E-5</v>
      </c>
    </row>
    <row r="255" spans="1:16" x14ac:dyDescent="0.2">
      <c r="A255" s="14"/>
      <c r="B255" s="113" t="s">
        <v>280</v>
      </c>
      <c r="C255" s="114" t="s">
        <v>281</v>
      </c>
      <c r="D255" s="115">
        <v>42760</v>
      </c>
      <c r="E255" s="46" t="s">
        <v>144</v>
      </c>
      <c r="F255" s="115">
        <v>43857</v>
      </c>
      <c r="G255" s="116">
        <v>250000</v>
      </c>
      <c r="H255" s="116"/>
      <c r="I255" s="116">
        <v>250000</v>
      </c>
      <c r="J255" s="117">
        <v>1.7000000000000001E-2</v>
      </c>
      <c r="K255" s="117"/>
      <c r="L255" s="117"/>
      <c r="M255" s="108"/>
      <c r="O255" s="109">
        <f t="shared" si="10"/>
        <v>4.0436565839237605E-3</v>
      </c>
      <c r="P255" s="110">
        <f t="shared" si="9"/>
        <v>6.8742161926703938E-5</v>
      </c>
    </row>
    <row r="256" spans="1:16" ht="22.5" x14ac:dyDescent="0.2">
      <c r="A256" s="14"/>
      <c r="B256" s="113" t="s">
        <v>282</v>
      </c>
      <c r="C256" s="114" t="s">
        <v>283</v>
      </c>
      <c r="D256" s="115">
        <v>42756</v>
      </c>
      <c r="E256" s="46" t="s">
        <v>144</v>
      </c>
      <c r="F256" s="115">
        <v>43851</v>
      </c>
      <c r="G256" s="116">
        <v>200000</v>
      </c>
      <c r="H256" s="116"/>
      <c r="I256" s="116">
        <v>200000</v>
      </c>
      <c r="J256" s="117">
        <v>1.7500000000000002E-2</v>
      </c>
      <c r="K256" s="117"/>
      <c r="L256" s="117"/>
      <c r="M256" s="108"/>
      <c r="O256" s="109">
        <f t="shared" si="10"/>
        <v>3.2349252671390089E-3</v>
      </c>
      <c r="P256" s="110">
        <f t="shared" si="9"/>
        <v>5.6611192174932662E-5</v>
      </c>
    </row>
    <row r="257" spans="1:17" x14ac:dyDescent="0.2">
      <c r="A257" s="14"/>
      <c r="B257" s="113" t="s">
        <v>284</v>
      </c>
      <c r="C257" s="114" t="s">
        <v>285</v>
      </c>
      <c r="D257" s="115">
        <v>42632</v>
      </c>
      <c r="E257" s="46" t="s">
        <v>144</v>
      </c>
      <c r="F257" s="115">
        <v>43727</v>
      </c>
      <c r="G257" s="116">
        <v>250000</v>
      </c>
      <c r="H257" s="116"/>
      <c r="I257" s="116">
        <v>250000</v>
      </c>
      <c r="J257" s="117">
        <v>1.0999999999999999E-2</v>
      </c>
      <c r="K257" s="117"/>
      <c r="L257" s="117"/>
      <c r="M257" s="108"/>
      <c r="O257" s="109">
        <f t="shared" si="10"/>
        <v>4.0436565839237605E-3</v>
      </c>
      <c r="P257" s="110">
        <f t="shared" si="9"/>
        <v>4.4480222423161365E-5</v>
      </c>
    </row>
    <row r="258" spans="1:17" ht="12.75" customHeight="1" x14ac:dyDescent="0.2">
      <c r="A258" s="81"/>
      <c r="B258" s="120"/>
      <c r="C258" s="121"/>
      <c r="D258" s="115"/>
      <c r="E258" s="46"/>
      <c r="F258" s="115"/>
      <c r="G258" s="122"/>
      <c r="H258" s="122"/>
      <c r="I258" s="116"/>
      <c r="J258" s="117"/>
      <c r="K258" s="117"/>
      <c r="L258" s="117"/>
      <c r="M258" s="117"/>
      <c r="N258" s="123"/>
      <c r="O258" s="109"/>
      <c r="P258" s="110"/>
    </row>
    <row r="259" spans="1:17" ht="12.75" customHeight="1" x14ac:dyDescent="0.2">
      <c r="A259" s="14" t="s">
        <v>286</v>
      </c>
      <c r="B259" s="120" t="s">
        <v>287</v>
      </c>
      <c r="C259" s="121" t="s">
        <v>288</v>
      </c>
      <c r="D259" s="115">
        <v>43315</v>
      </c>
      <c r="E259" s="46" t="s">
        <v>289</v>
      </c>
      <c r="F259" s="115">
        <v>43708</v>
      </c>
      <c r="G259" s="122">
        <v>500000</v>
      </c>
      <c r="H259" s="122"/>
      <c r="I259" s="116">
        <v>500000</v>
      </c>
      <c r="J259" s="117">
        <v>1.2500000000000001E-2</v>
      </c>
      <c r="K259" s="117"/>
      <c r="L259" s="117"/>
      <c r="M259" s="117"/>
      <c r="N259" s="123"/>
      <c r="O259" s="109">
        <f t="shared" ref="O259:O265" si="11">I259/I$267</f>
        <v>8.0873131678475211E-3</v>
      </c>
      <c r="P259" s="110">
        <f t="shared" ref="P259:P265" si="12">O259*J259</f>
        <v>1.0109141459809401E-4</v>
      </c>
    </row>
    <row r="260" spans="1:17" ht="12.75" customHeight="1" x14ac:dyDescent="0.2">
      <c r="A260" s="81"/>
      <c r="B260" s="120" t="s">
        <v>287</v>
      </c>
      <c r="C260" s="121" t="s">
        <v>290</v>
      </c>
      <c r="D260" s="115">
        <v>43315</v>
      </c>
      <c r="E260" s="46" t="s">
        <v>289</v>
      </c>
      <c r="F260" s="115">
        <v>43708</v>
      </c>
      <c r="G260" s="122">
        <v>500000</v>
      </c>
      <c r="H260" s="122"/>
      <c r="I260" s="116">
        <v>500000</v>
      </c>
      <c r="J260" s="117">
        <v>1.6250000000000001E-2</v>
      </c>
      <c r="K260" s="117"/>
      <c r="L260" s="117"/>
      <c r="M260" s="117"/>
      <c r="N260" s="123"/>
      <c r="O260" s="109">
        <f t="shared" si="11"/>
        <v>8.0873131678475211E-3</v>
      </c>
      <c r="P260" s="110">
        <f t="shared" si="12"/>
        <v>1.3141883897752223E-4</v>
      </c>
    </row>
    <row r="261" spans="1:17" ht="12.75" customHeight="1" x14ac:dyDescent="0.2">
      <c r="A261" s="14"/>
      <c r="B261" s="120" t="s">
        <v>287</v>
      </c>
      <c r="C261" s="121" t="s">
        <v>291</v>
      </c>
      <c r="D261" s="115">
        <v>43312</v>
      </c>
      <c r="E261" s="46" t="s">
        <v>144</v>
      </c>
      <c r="F261" s="115">
        <v>44408</v>
      </c>
      <c r="G261" s="122">
        <v>1000000</v>
      </c>
      <c r="H261" s="122"/>
      <c r="I261" s="116">
        <v>1000000</v>
      </c>
      <c r="J261" s="117">
        <v>1.2500000000000001E-2</v>
      </c>
      <c r="K261" s="117"/>
      <c r="L261" s="117"/>
      <c r="M261" s="117"/>
      <c r="N261" s="123"/>
      <c r="O261" s="109">
        <f t="shared" si="11"/>
        <v>1.6174626335695042E-2</v>
      </c>
      <c r="P261" s="110">
        <f t="shared" si="12"/>
        <v>2.0218282919618803E-4</v>
      </c>
    </row>
    <row r="262" spans="1:17" ht="12.75" customHeight="1" x14ac:dyDescent="0.2">
      <c r="A262" s="81"/>
      <c r="B262" s="120" t="s">
        <v>287</v>
      </c>
      <c r="C262" s="121" t="s">
        <v>292</v>
      </c>
      <c r="D262" s="115">
        <v>43312</v>
      </c>
      <c r="E262" s="46" t="s">
        <v>289</v>
      </c>
      <c r="F262" s="115">
        <v>43677</v>
      </c>
      <c r="G262" s="122">
        <v>1000000</v>
      </c>
      <c r="H262" s="122"/>
      <c r="I262" s="116">
        <v>1000000</v>
      </c>
      <c r="J262" s="117">
        <v>8.7500000000000008E-3</v>
      </c>
      <c r="K262" s="117"/>
      <c r="L262" s="117"/>
      <c r="M262" s="117"/>
      <c r="N262" s="123"/>
      <c r="O262" s="109">
        <f t="shared" si="11"/>
        <v>1.6174626335695042E-2</v>
      </c>
      <c r="P262" s="110">
        <f t="shared" si="12"/>
        <v>1.4152798043733162E-4</v>
      </c>
    </row>
    <row r="263" spans="1:17" ht="12.75" customHeight="1" x14ac:dyDescent="0.2">
      <c r="A263" s="81"/>
      <c r="B263" s="120" t="s">
        <v>287</v>
      </c>
      <c r="C263" s="121" t="s">
        <v>293</v>
      </c>
      <c r="D263" s="115">
        <v>43336</v>
      </c>
      <c r="E263" s="46" t="s">
        <v>294</v>
      </c>
      <c r="F263" s="115">
        <v>43646</v>
      </c>
      <c r="G263" s="122">
        <v>1000000</v>
      </c>
      <c r="H263" s="122"/>
      <c r="I263" s="116">
        <v>1000000</v>
      </c>
      <c r="J263" s="117">
        <v>1.6250000000000001E-2</v>
      </c>
      <c r="K263" s="117"/>
      <c r="L263" s="117"/>
      <c r="M263" s="117"/>
      <c r="N263" s="123"/>
      <c r="O263" s="109">
        <f t="shared" si="11"/>
        <v>1.6174626335695042E-2</v>
      </c>
      <c r="P263" s="110">
        <f t="shared" si="12"/>
        <v>2.6283767795504446E-4</v>
      </c>
    </row>
    <row r="264" spans="1:17" ht="12.75" customHeight="1" x14ac:dyDescent="0.2">
      <c r="A264" s="81"/>
      <c r="B264" s="120" t="s">
        <v>287</v>
      </c>
      <c r="C264" s="121" t="s">
        <v>295</v>
      </c>
      <c r="D264" s="115">
        <v>43312</v>
      </c>
      <c r="E264" s="46" t="s">
        <v>129</v>
      </c>
      <c r="F264" s="115">
        <v>44043</v>
      </c>
      <c r="G264" s="122">
        <v>1000000</v>
      </c>
      <c r="H264" s="122"/>
      <c r="I264" s="116">
        <v>1000000</v>
      </c>
      <c r="J264" s="117">
        <v>1.6250000000000001E-2</v>
      </c>
      <c r="K264" s="117"/>
      <c r="L264" s="117"/>
      <c r="M264" s="117"/>
      <c r="N264" s="123"/>
      <c r="O264" s="109">
        <f t="shared" si="11"/>
        <v>1.6174626335695042E-2</v>
      </c>
      <c r="P264" s="110">
        <f t="shared" si="12"/>
        <v>2.6283767795504446E-4</v>
      </c>
    </row>
    <row r="265" spans="1:17" ht="12" thickBot="1" x14ac:dyDescent="0.25">
      <c r="A265" s="124" t="s">
        <v>296</v>
      </c>
      <c r="B265" s="125"/>
      <c r="C265" s="126"/>
      <c r="D265" s="127"/>
      <c r="E265" s="127"/>
      <c r="F265" s="128"/>
      <c r="G265" s="129"/>
      <c r="H265" s="129"/>
      <c r="I265" s="130">
        <f>-398208.4-59055.05</f>
        <v>-457263.45</v>
      </c>
      <c r="J265" s="131"/>
      <c r="K265" s="123"/>
      <c r="L265" s="123"/>
      <c r="M265" s="123"/>
      <c r="N265" s="123"/>
      <c r="O265" s="109">
        <f t="shared" si="11"/>
        <v>-7.3960654407207735E-3</v>
      </c>
      <c r="P265" s="110">
        <f t="shared" si="12"/>
        <v>0</v>
      </c>
    </row>
    <row r="266" spans="1:17" x14ac:dyDescent="0.2">
      <c r="A266" s="99"/>
      <c r="B266" s="71"/>
      <c r="C266" s="71"/>
      <c r="D266" s="132"/>
      <c r="E266" s="132"/>
      <c r="F266" s="133"/>
      <c r="G266" s="133">
        <f>SUM(G186:G265)</f>
        <v>22950000</v>
      </c>
      <c r="H266" s="133"/>
      <c r="I266" s="134"/>
      <c r="J266" s="122"/>
      <c r="K266" s="122"/>
      <c r="L266" s="122"/>
      <c r="M266" s="122"/>
    </row>
    <row r="267" spans="1:17" ht="12" thickBot="1" x14ac:dyDescent="0.25">
      <c r="A267" s="14"/>
      <c r="D267" s="135"/>
      <c r="E267" s="135"/>
      <c r="F267" s="136"/>
      <c r="G267" s="31" t="s">
        <v>297</v>
      </c>
      <c r="H267" s="31"/>
      <c r="I267" s="137">
        <f>SUM(I173:I265)</f>
        <v>61825230.409999996</v>
      </c>
      <c r="J267" s="138"/>
      <c r="K267" s="122"/>
      <c r="L267" s="122"/>
      <c r="M267" s="122"/>
      <c r="O267" s="139"/>
    </row>
    <row r="268" spans="1:17" ht="12" thickTop="1" x14ac:dyDescent="0.2">
      <c r="A268" s="14"/>
      <c r="D268" s="135"/>
      <c r="E268" s="135"/>
      <c r="F268" s="136"/>
      <c r="H268" s="31"/>
      <c r="I268" s="25"/>
      <c r="J268" s="140"/>
      <c r="K268" s="140"/>
      <c r="L268" s="140"/>
      <c r="M268" s="140"/>
      <c r="Q268" s="139"/>
    </row>
    <row r="269" spans="1:17" x14ac:dyDescent="0.2">
      <c r="A269" s="14"/>
      <c r="B269" s="31"/>
      <c r="C269" s="31"/>
      <c r="D269" s="135"/>
      <c r="E269" s="135"/>
      <c r="F269" s="140"/>
      <c r="G269" s="141" t="s">
        <v>298</v>
      </c>
      <c r="H269" s="141"/>
      <c r="I269" s="28"/>
      <c r="J269" s="142">
        <f>SUM(P173:P265)</f>
        <v>1.7317349143410987E-2</v>
      </c>
      <c r="K269" s="142"/>
      <c r="L269" s="142"/>
      <c r="M269" s="143"/>
      <c r="N269" s="143"/>
    </row>
    <row r="270" spans="1:17" x14ac:dyDescent="0.2">
      <c r="A270" s="14"/>
      <c r="B270" s="31"/>
      <c r="C270" s="31"/>
      <c r="D270" s="135"/>
      <c r="E270" s="135"/>
      <c r="F270" s="140"/>
      <c r="G270" s="141"/>
      <c r="H270" s="141"/>
      <c r="I270" s="28"/>
      <c r="J270" s="142"/>
      <c r="K270" s="142"/>
      <c r="L270" s="142"/>
      <c r="M270" s="143"/>
      <c r="N270" s="143"/>
    </row>
    <row r="271" spans="1:17" x14ac:dyDescent="0.2">
      <c r="A271" s="14"/>
      <c r="B271" s="31"/>
      <c r="C271" s="31"/>
      <c r="D271" s="135"/>
      <c r="E271" s="135"/>
      <c r="F271" s="140"/>
      <c r="G271" s="141"/>
      <c r="H271" s="141"/>
      <c r="I271" s="28"/>
      <c r="J271" s="142"/>
      <c r="K271" s="142"/>
      <c r="L271" s="142"/>
      <c r="M271" s="143"/>
      <c r="N271" s="143"/>
    </row>
    <row r="272" spans="1:17" x14ac:dyDescent="0.2">
      <c r="A272" s="14"/>
      <c r="B272" s="31"/>
      <c r="C272" s="31"/>
      <c r="D272" s="135"/>
      <c r="E272" s="135"/>
      <c r="F272" s="140"/>
      <c r="G272" s="141"/>
      <c r="H272" s="141"/>
      <c r="I272" s="28"/>
      <c r="J272" s="142"/>
      <c r="K272" s="142"/>
      <c r="L272" s="142"/>
      <c r="M272" s="143"/>
      <c r="N272" s="143"/>
    </row>
    <row r="273" spans="1:14" x14ac:dyDescent="0.2">
      <c r="A273" s="14"/>
      <c r="B273" s="31"/>
      <c r="C273" s="31"/>
      <c r="D273" s="135"/>
      <c r="E273" s="135"/>
      <c r="F273" s="140"/>
      <c r="G273" s="141"/>
      <c r="H273" s="141"/>
      <c r="I273" s="28"/>
      <c r="J273" s="142"/>
      <c r="K273" s="142"/>
      <c r="L273" s="142"/>
      <c r="M273" s="143"/>
      <c r="N273" s="143"/>
    </row>
    <row r="274" spans="1:14" x14ac:dyDescent="0.2">
      <c r="A274" s="14"/>
      <c r="B274" s="31"/>
      <c r="C274" s="31"/>
      <c r="D274" s="135"/>
      <c r="E274" s="135"/>
      <c r="F274" s="140"/>
      <c r="G274" s="141"/>
      <c r="H274" s="141"/>
      <c r="I274" s="28"/>
      <c r="J274" s="142"/>
      <c r="K274" s="142"/>
      <c r="L274" s="142"/>
      <c r="M274" s="143"/>
      <c r="N274" s="143"/>
    </row>
    <row r="275" spans="1:14" x14ac:dyDescent="0.2">
      <c r="A275" s="14"/>
      <c r="B275" s="31"/>
      <c r="C275" s="31"/>
      <c r="D275" s="135"/>
      <c r="E275" s="135"/>
      <c r="F275" s="140"/>
      <c r="G275" s="141"/>
      <c r="H275" s="141"/>
      <c r="I275" s="28"/>
      <c r="J275" s="142"/>
      <c r="K275" s="142"/>
      <c r="L275" s="142"/>
      <c r="M275" s="143"/>
      <c r="N275" s="143"/>
    </row>
    <row r="276" spans="1:14" x14ac:dyDescent="0.2">
      <c r="A276" s="14"/>
      <c r="B276" s="31"/>
      <c r="C276" s="31"/>
      <c r="D276" s="135"/>
      <c r="E276" s="135"/>
      <c r="F276" s="140"/>
      <c r="G276" s="141"/>
      <c r="H276" s="141"/>
      <c r="I276" s="144"/>
      <c r="J276" s="143"/>
      <c r="K276" s="143"/>
      <c r="L276" s="143"/>
      <c r="M276" s="143"/>
      <c r="N276" s="143"/>
    </row>
    <row r="277" spans="1:14" x14ac:dyDescent="0.2">
      <c r="A277" s="14"/>
      <c r="B277" s="31"/>
      <c r="C277" s="31"/>
      <c r="D277" s="135"/>
      <c r="E277" s="135"/>
      <c r="F277" s="140"/>
      <c r="G277" s="141"/>
      <c r="H277" s="136"/>
      <c r="I277" s="136"/>
      <c r="J277" s="136"/>
      <c r="K277" s="136"/>
      <c r="L277" s="136"/>
      <c r="M277" s="136"/>
      <c r="N277" s="102"/>
    </row>
    <row r="278" spans="1:14" x14ac:dyDescent="0.2"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</row>
    <row r="279" spans="1:14" x14ac:dyDescent="0.2">
      <c r="B279" s="99"/>
      <c r="C279" s="99"/>
      <c r="D279" s="99"/>
      <c r="E279" s="99"/>
      <c r="F279" s="99"/>
      <c r="G279" s="99"/>
      <c r="H279" s="99"/>
      <c r="I279" s="99"/>
      <c r="J279" s="99"/>
      <c r="K279" s="99"/>
      <c r="L279" s="99"/>
      <c r="M279" s="99"/>
      <c r="N279" s="99"/>
    </row>
    <row r="280" spans="1:14" x14ac:dyDescent="0.2">
      <c r="B280" s="99"/>
      <c r="C280" s="99"/>
      <c r="D280" s="99"/>
      <c r="E280" s="99"/>
      <c r="F280" s="99"/>
      <c r="G280" s="99"/>
      <c r="H280" s="99"/>
      <c r="I280" s="99"/>
      <c r="J280" s="99"/>
      <c r="K280" s="99"/>
      <c r="L280" s="99"/>
      <c r="M280" s="99"/>
      <c r="N280" s="99"/>
    </row>
    <row r="281" spans="1:14" x14ac:dyDescent="0.2">
      <c r="B281" s="99"/>
      <c r="C281" s="99"/>
      <c r="D281" s="99"/>
      <c r="E281" s="99"/>
      <c r="F281" s="99"/>
      <c r="G281" s="99"/>
      <c r="H281" s="99"/>
      <c r="I281" s="99"/>
      <c r="J281" s="99"/>
      <c r="K281" s="99"/>
      <c r="L281" s="99"/>
      <c r="M281" s="99"/>
      <c r="N281" s="99"/>
    </row>
    <row r="282" spans="1:14" x14ac:dyDescent="0.2">
      <c r="B282" s="99"/>
      <c r="C282" s="99"/>
      <c r="D282" s="99"/>
      <c r="E282" s="99"/>
      <c r="F282" s="99"/>
      <c r="G282" s="99"/>
      <c r="H282" s="99"/>
      <c r="I282" s="99"/>
      <c r="J282" s="99"/>
      <c r="K282" s="99"/>
      <c r="L282" s="99"/>
      <c r="M282" s="99"/>
      <c r="N282" s="99"/>
    </row>
    <row r="283" spans="1:14" x14ac:dyDescent="0.2"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</row>
    <row r="284" spans="1:14" x14ac:dyDescent="0.2">
      <c r="B284" s="99"/>
      <c r="C284" s="99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</row>
    <row r="285" spans="1:14" x14ac:dyDescent="0.2">
      <c r="B285" s="99"/>
      <c r="C285" s="99"/>
      <c r="D285" s="99"/>
      <c r="E285" s="99"/>
      <c r="F285" s="99"/>
      <c r="G285" s="99"/>
      <c r="H285" s="99"/>
      <c r="I285" s="99"/>
      <c r="J285" s="99"/>
      <c r="K285" s="99"/>
      <c r="L285" s="99"/>
      <c r="M285" s="99"/>
      <c r="N285" s="99"/>
    </row>
    <row r="286" spans="1:14" x14ac:dyDescent="0.2">
      <c r="B286" s="99"/>
      <c r="C286" s="99"/>
      <c r="D286" s="99"/>
      <c r="E286" s="99"/>
      <c r="F286" s="99"/>
      <c r="G286" s="99"/>
      <c r="H286" s="99"/>
      <c r="I286" s="99"/>
      <c r="J286" s="99"/>
      <c r="K286" s="99"/>
      <c r="L286" s="99"/>
      <c r="M286" s="99"/>
      <c r="N286" s="99"/>
    </row>
    <row r="287" spans="1:14" x14ac:dyDescent="0.2"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99"/>
      <c r="M287" s="99"/>
      <c r="N287" s="99"/>
    </row>
    <row r="288" spans="1:14" x14ac:dyDescent="0.2">
      <c r="B288" s="99"/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9"/>
    </row>
    <row r="289" spans="2:14" x14ac:dyDescent="0.2">
      <c r="B289" s="99"/>
      <c r="C289" s="99"/>
      <c r="D289" s="99"/>
      <c r="E289" s="99"/>
      <c r="F289" s="99"/>
      <c r="G289" s="99"/>
      <c r="H289" s="99"/>
      <c r="I289" s="99"/>
      <c r="J289" s="99"/>
      <c r="K289" s="99"/>
      <c r="L289" s="99"/>
      <c r="M289" s="99"/>
      <c r="N289" s="99"/>
    </row>
    <row r="290" spans="2:14" x14ac:dyDescent="0.2">
      <c r="B290" s="99"/>
      <c r="C290" s="99"/>
      <c r="D290" s="99"/>
      <c r="E290" s="99"/>
      <c r="F290" s="99"/>
      <c r="G290" s="99"/>
      <c r="H290" s="99"/>
      <c r="I290" s="99"/>
      <c r="J290" s="99"/>
      <c r="K290" s="99"/>
      <c r="L290" s="99"/>
      <c r="M290" s="99"/>
      <c r="N290" s="99"/>
    </row>
    <row r="291" spans="2:14" x14ac:dyDescent="0.2">
      <c r="B291" s="99"/>
      <c r="C291" s="99"/>
      <c r="D291" s="99"/>
      <c r="E291" s="99"/>
      <c r="F291" s="99"/>
      <c r="G291" s="99"/>
      <c r="H291" s="99"/>
      <c r="I291" s="99"/>
      <c r="J291" s="99"/>
      <c r="K291" s="99"/>
      <c r="L291" s="99"/>
      <c r="M291" s="99"/>
      <c r="N291" s="99"/>
    </row>
    <row r="292" spans="2:14" x14ac:dyDescent="0.2">
      <c r="B292" s="99"/>
      <c r="C292" s="99"/>
      <c r="D292" s="99"/>
      <c r="E292" s="99"/>
      <c r="F292" s="99"/>
      <c r="G292" s="99"/>
      <c r="H292" s="99"/>
      <c r="I292" s="99"/>
      <c r="J292" s="99"/>
      <c r="K292" s="99"/>
      <c r="L292" s="99"/>
      <c r="M292" s="99"/>
      <c r="N292" s="99"/>
    </row>
    <row r="293" spans="2:14" x14ac:dyDescent="0.2">
      <c r="B293" s="99"/>
      <c r="C293" s="99"/>
      <c r="D293" s="99"/>
      <c r="E293" s="99"/>
      <c r="F293" s="99"/>
      <c r="G293" s="99"/>
      <c r="H293" s="99"/>
      <c r="I293" s="99"/>
      <c r="J293" s="99"/>
      <c r="K293" s="99"/>
      <c r="L293" s="99"/>
      <c r="M293" s="99"/>
      <c r="N293" s="99"/>
    </row>
    <row r="294" spans="2:14" x14ac:dyDescent="0.2">
      <c r="B294" s="99"/>
      <c r="C294" s="99"/>
      <c r="D294" s="99"/>
      <c r="E294" s="99"/>
      <c r="F294" s="99"/>
      <c r="G294" s="99"/>
      <c r="H294" s="99"/>
      <c r="I294" s="99"/>
      <c r="J294" s="99"/>
      <c r="K294" s="99"/>
      <c r="L294" s="99"/>
      <c r="M294" s="99"/>
      <c r="N294" s="99"/>
    </row>
    <row r="295" spans="2:14" x14ac:dyDescent="0.2">
      <c r="B295" s="99"/>
      <c r="C295" s="99"/>
      <c r="D295" s="99"/>
      <c r="E295" s="99"/>
      <c r="F295" s="99"/>
      <c r="G295" s="99"/>
      <c r="H295" s="99"/>
      <c r="I295" s="99"/>
      <c r="J295" s="99"/>
      <c r="K295" s="99"/>
      <c r="L295" s="99"/>
      <c r="M295" s="99"/>
      <c r="N295" s="99"/>
    </row>
    <row r="296" spans="2:14" x14ac:dyDescent="0.2">
      <c r="B296" s="99"/>
      <c r="C296" s="99"/>
      <c r="D296" s="99"/>
      <c r="E296" s="99"/>
      <c r="F296" s="99"/>
      <c r="G296" s="99"/>
      <c r="H296" s="99"/>
      <c r="I296" s="99"/>
      <c r="J296" s="99"/>
      <c r="K296" s="99"/>
      <c r="L296" s="99"/>
      <c r="M296" s="99"/>
      <c r="N296" s="99"/>
    </row>
    <row r="297" spans="2:14" x14ac:dyDescent="0.2">
      <c r="B297" s="99"/>
      <c r="C297" s="99"/>
      <c r="D297" s="99"/>
      <c r="E297" s="99"/>
      <c r="F297" s="99"/>
      <c r="G297" s="99"/>
      <c r="H297" s="99"/>
      <c r="I297" s="99"/>
      <c r="J297" s="99"/>
      <c r="K297" s="99"/>
      <c r="L297" s="99"/>
      <c r="M297" s="99"/>
      <c r="N297" s="99"/>
    </row>
    <row r="298" spans="2:14" x14ac:dyDescent="0.2">
      <c r="B298" s="99"/>
      <c r="C298" s="99"/>
      <c r="D298" s="99"/>
      <c r="E298" s="99"/>
      <c r="F298" s="99"/>
      <c r="G298" s="99"/>
      <c r="H298" s="99"/>
      <c r="I298" s="99"/>
      <c r="J298" s="99"/>
      <c r="K298" s="99"/>
      <c r="L298" s="99"/>
      <c r="M298" s="99"/>
      <c r="N298" s="99"/>
    </row>
    <row r="299" spans="2:14" x14ac:dyDescent="0.2">
      <c r="B299" s="99"/>
      <c r="C299" s="99"/>
      <c r="D299" s="99"/>
      <c r="E299" s="99"/>
      <c r="F299" s="99"/>
      <c r="G299" s="99"/>
      <c r="H299" s="99"/>
      <c r="I299" s="99"/>
      <c r="J299" s="99"/>
      <c r="K299" s="99"/>
      <c r="L299" s="99"/>
      <c r="M299" s="99"/>
      <c r="N299" s="99"/>
    </row>
    <row r="300" spans="2:14" x14ac:dyDescent="0.2">
      <c r="B300" s="99"/>
      <c r="C300" s="99"/>
      <c r="D300" s="99"/>
      <c r="E300" s="99"/>
      <c r="F300" s="99"/>
      <c r="G300" s="99"/>
      <c r="H300" s="99"/>
      <c r="I300" s="99"/>
      <c r="J300" s="99"/>
      <c r="K300" s="99"/>
      <c r="L300" s="99"/>
      <c r="M300" s="99"/>
      <c r="N300" s="99"/>
    </row>
    <row r="301" spans="2:14" x14ac:dyDescent="0.2">
      <c r="B301" s="99"/>
      <c r="C301" s="99"/>
      <c r="D301" s="99"/>
      <c r="E301" s="99"/>
      <c r="F301" s="99"/>
      <c r="G301" s="99"/>
      <c r="H301" s="99"/>
      <c r="I301" s="99"/>
      <c r="J301" s="99"/>
      <c r="K301" s="99"/>
      <c r="L301" s="99"/>
      <c r="M301" s="99"/>
      <c r="N301" s="99"/>
    </row>
    <row r="302" spans="2:14" x14ac:dyDescent="0.2">
      <c r="B302" s="99"/>
      <c r="C302" s="99"/>
      <c r="D302" s="99"/>
      <c r="E302" s="99"/>
      <c r="F302" s="99"/>
      <c r="G302" s="99"/>
      <c r="H302" s="99"/>
      <c r="I302" s="99"/>
      <c r="J302" s="99"/>
      <c r="K302" s="99"/>
      <c r="L302" s="99"/>
      <c r="M302" s="99"/>
      <c r="N302" s="99"/>
    </row>
    <row r="303" spans="2:14" x14ac:dyDescent="0.2">
      <c r="B303" s="99"/>
      <c r="C303" s="99"/>
      <c r="D303" s="99"/>
      <c r="E303" s="99"/>
      <c r="F303" s="99"/>
      <c r="G303" s="99"/>
      <c r="H303" s="99"/>
      <c r="I303" s="99"/>
      <c r="J303" s="99"/>
      <c r="K303" s="99"/>
      <c r="L303" s="99"/>
      <c r="M303" s="99"/>
      <c r="N303" s="99"/>
    </row>
    <row r="304" spans="2:14" x14ac:dyDescent="0.2">
      <c r="B304" s="99"/>
      <c r="C304" s="99"/>
      <c r="D304" s="99"/>
      <c r="E304" s="99"/>
      <c r="F304" s="99"/>
      <c r="G304" s="99"/>
      <c r="H304" s="99"/>
      <c r="I304" s="99"/>
      <c r="J304" s="99"/>
      <c r="K304" s="99"/>
      <c r="L304" s="99"/>
      <c r="M304" s="99"/>
      <c r="N304" s="99"/>
    </row>
    <row r="305" spans="1:14" x14ac:dyDescent="0.2">
      <c r="B305" s="99"/>
      <c r="C305" s="99"/>
      <c r="D305" s="99"/>
      <c r="E305" s="99"/>
      <c r="F305" s="99"/>
      <c r="G305" s="99"/>
      <c r="H305" s="99"/>
      <c r="I305" s="99"/>
      <c r="J305" s="99"/>
      <c r="K305" s="99"/>
      <c r="L305" s="99"/>
      <c r="M305" s="99"/>
      <c r="N305" s="99"/>
    </row>
    <row r="306" spans="1:14" x14ac:dyDescent="0.2">
      <c r="B306" s="99"/>
      <c r="C306" s="99"/>
      <c r="D306" s="99"/>
      <c r="E306" s="99"/>
      <c r="F306" s="99"/>
      <c r="G306" s="99"/>
      <c r="H306" s="99"/>
      <c r="I306" s="99"/>
      <c r="J306" s="99"/>
      <c r="K306" s="99"/>
      <c r="L306" s="99"/>
      <c r="M306" s="99"/>
      <c r="N306" s="99"/>
    </row>
    <row r="307" spans="1:14" x14ac:dyDescent="0.2">
      <c r="B307" s="99"/>
      <c r="C307" s="99"/>
      <c r="D307" s="99"/>
      <c r="E307" s="99"/>
      <c r="F307" s="99"/>
      <c r="G307" s="99"/>
      <c r="H307" s="99"/>
      <c r="I307" s="99"/>
      <c r="J307" s="99"/>
      <c r="K307" s="99"/>
      <c r="L307" s="99"/>
      <c r="M307" s="99"/>
      <c r="N307" s="99"/>
    </row>
    <row r="308" spans="1:14" x14ac:dyDescent="0.2">
      <c r="B308" s="99"/>
      <c r="C308" s="99"/>
      <c r="D308" s="99"/>
      <c r="E308" s="99"/>
      <c r="F308" s="99"/>
      <c r="G308" s="99"/>
      <c r="H308" s="99"/>
      <c r="I308" s="99"/>
      <c r="J308" s="99"/>
      <c r="K308" s="99"/>
      <c r="L308" s="99"/>
      <c r="M308" s="99"/>
      <c r="N308" s="99"/>
    </row>
    <row r="309" spans="1:14" x14ac:dyDescent="0.2">
      <c r="B309" s="99"/>
      <c r="C309" s="99"/>
      <c r="D309" s="99"/>
      <c r="E309" s="99"/>
      <c r="F309" s="99"/>
      <c r="G309" s="99"/>
      <c r="H309" s="99"/>
      <c r="I309" s="99"/>
      <c r="J309" s="99"/>
      <c r="K309" s="99"/>
      <c r="L309" s="99"/>
      <c r="M309" s="99"/>
      <c r="N309" s="99"/>
    </row>
    <row r="310" spans="1:14" x14ac:dyDescent="0.2">
      <c r="B310" s="99"/>
      <c r="C310" s="99"/>
      <c r="D310" s="99"/>
      <c r="E310" s="99"/>
      <c r="F310" s="99"/>
      <c r="G310" s="99"/>
      <c r="H310" s="99"/>
      <c r="I310" s="99"/>
      <c r="J310" s="99"/>
      <c r="K310" s="99"/>
      <c r="L310" s="99"/>
      <c r="M310" s="99"/>
      <c r="N310" s="99"/>
    </row>
    <row r="311" spans="1:14" x14ac:dyDescent="0.2">
      <c r="B311" s="99"/>
      <c r="C311" s="99"/>
      <c r="D311" s="99"/>
      <c r="E311" s="99"/>
      <c r="F311" s="99"/>
      <c r="G311" s="99"/>
      <c r="H311" s="99"/>
      <c r="I311" s="99"/>
      <c r="J311" s="99"/>
      <c r="K311" s="99"/>
      <c r="L311" s="99"/>
      <c r="M311" s="99"/>
      <c r="N311" s="99"/>
    </row>
    <row r="312" spans="1:14" x14ac:dyDescent="0.2">
      <c r="B312" s="99"/>
      <c r="C312" s="99"/>
      <c r="D312" s="99"/>
      <c r="E312" s="99"/>
      <c r="F312" s="99"/>
      <c r="G312" s="99"/>
      <c r="H312" s="99"/>
      <c r="I312" s="99"/>
      <c r="J312" s="99"/>
      <c r="K312" s="99"/>
      <c r="L312" s="99"/>
      <c r="M312" s="99"/>
      <c r="N312" s="99"/>
    </row>
    <row r="313" spans="1:14" x14ac:dyDescent="0.2">
      <c r="B313" s="99"/>
      <c r="C313" s="99"/>
      <c r="D313" s="99"/>
      <c r="E313" s="99"/>
      <c r="F313" s="99"/>
      <c r="G313" s="99"/>
      <c r="H313" s="99"/>
      <c r="I313" s="99"/>
      <c r="J313" s="99"/>
      <c r="K313" s="99"/>
      <c r="L313" s="99"/>
      <c r="M313" s="99"/>
      <c r="N313" s="99"/>
    </row>
    <row r="314" spans="1:14" x14ac:dyDescent="0.2">
      <c r="B314" s="99"/>
      <c r="C314" s="99"/>
      <c r="D314" s="99"/>
      <c r="E314" s="99"/>
      <c r="F314" s="99"/>
      <c r="G314" s="99"/>
      <c r="H314" s="99"/>
      <c r="I314" s="99"/>
      <c r="J314" s="99"/>
      <c r="K314" s="99"/>
      <c r="L314" s="99"/>
      <c r="M314" s="99"/>
      <c r="N314" s="99"/>
    </row>
    <row r="315" spans="1:14" x14ac:dyDescent="0.2">
      <c r="B315" s="99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99"/>
    </row>
    <row r="316" spans="1:14" x14ac:dyDescent="0.2">
      <c r="A316" s="145" t="s">
        <v>299</v>
      </c>
      <c r="B316" s="99"/>
      <c r="C316" s="99"/>
      <c r="D316" s="43"/>
      <c r="E316" s="43"/>
      <c r="F316" s="140"/>
      <c r="G316" s="123"/>
      <c r="H316" s="43"/>
      <c r="I316" s="43"/>
      <c r="J316" s="43"/>
      <c r="K316" s="43"/>
      <c r="L316" s="43"/>
      <c r="M316" s="43"/>
      <c r="N316" s="43"/>
    </row>
    <row r="317" spans="1:14" x14ac:dyDescent="0.2">
      <c r="A317" s="14" t="s">
        <v>300</v>
      </c>
      <c r="D317" s="99"/>
      <c r="E317" s="99"/>
      <c r="F317" s="140"/>
      <c r="G317" s="123"/>
      <c r="H317" s="43"/>
      <c r="I317" s="43"/>
      <c r="J317" s="43"/>
      <c r="K317" s="43"/>
      <c r="L317" s="43"/>
      <c r="M317" s="43"/>
      <c r="N317" s="43"/>
    </row>
    <row r="318" spans="1:14" x14ac:dyDescent="0.2">
      <c r="A318" s="14" t="s">
        <v>301</v>
      </c>
      <c r="D318" s="99"/>
      <c r="E318" s="99"/>
      <c r="G318" s="146"/>
    </row>
    <row r="319" spans="1:14" x14ac:dyDescent="0.2">
      <c r="A319" s="141" t="s">
        <v>302</v>
      </c>
      <c r="D319" s="99"/>
      <c r="E319" s="99"/>
      <c r="G319" s="146"/>
    </row>
    <row r="320" spans="1:14" x14ac:dyDescent="0.2">
      <c r="A320" s="141"/>
      <c r="D320" s="99"/>
      <c r="E320" s="99"/>
      <c r="G320" s="146"/>
    </row>
    <row r="321" spans="1:14" x14ac:dyDescent="0.2">
      <c r="A321" s="141"/>
      <c r="D321" s="99"/>
      <c r="E321" s="99"/>
      <c r="G321" s="146"/>
    </row>
    <row r="322" spans="1:14" x14ac:dyDescent="0.2">
      <c r="A322" s="141"/>
      <c r="B322" s="3" t="s">
        <v>303</v>
      </c>
      <c r="D322" s="99"/>
      <c r="E322" s="99"/>
      <c r="G322" s="146"/>
    </row>
    <row r="323" spans="1:14" x14ac:dyDescent="0.2">
      <c r="A323" s="141"/>
      <c r="B323" s="3" t="s">
        <v>304</v>
      </c>
      <c r="F323" s="136"/>
    </row>
    <row r="324" spans="1:14" x14ac:dyDescent="0.2">
      <c r="A324" s="14"/>
      <c r="F324" s="136"/>
    </row>
    <row r="325" spans="1:14" x14ac:dyDescent="0.2">
      <c r="A325" s="14"/>
      <c r="B325" s="14" t="s">
        <v>305</v>
      </c>
      <c r="C325" s="14"/>
    </row>
    <row r="326" spans="1:14" x14ac:dyDescent="0.2">
      <c r="A326" s="14"/>
      <c r="B326" s="14" t="s">
        <v>306</v>
      </c>
      <c r="C326" s="14"/>
    </row>
    <row r="327" spans="1:14" x14ac:dyDescent="0.2">
      <c r="A327" s="14"/>
      <c r="B327" s="14" t="s">
        <v>307</v>
      </c>
      <c r="C327" s="14"/>
    </row>
    <row r="328" spans="1:14" x14ac:dyDescent="0.2">
      <c r="A328" s="14"/>
    </row>
    <row r="329" spans="1:14" x14ac:dyDescent="0.2">
      <c r="A329" s="14"/>
    </row>
    <row r="330" spans="1:14" x14ac:dyDescent="0.2">
      <c r="A330" s="14"/>
      <c r="F330" s="3" t="s">
        <v>308</v>
      </c>
    </row>
    <row r="331" spans="1:14" x14ac:dyDescent="0.2">
      <c r="A331" s="14"/>
      <c r="D331" s="99"/>
      <c r="E331" s="99"/>
    </row>
    <row r="332" spans="1:14" x14ac:dyDescent="0.2">
      <c r="A332" s="14"/>
      <c r="D332" s="99"/>
      <c r="E332" s="99"/>
    </row>
    <row r="333" spans="1:14" ht="12" thickBot="1" x14ac:dyDescent="0.25">
      <c r="A333" s="14"/>
      <c r="D333" s="99"/>
      <c r="E333" s="99"/>
      <c r="J333" s="99"/>
      <c r="K333" s="99"/>
      <c r="L333" s="99"/>
      <c r="M333" s="99"/>
      <c r="N333" s="99"/>
    </row>
    <row r="334" spans="1:14" x14ac:dyDescent="0.2">
      <c r="B334" s="99"/>
      <c r="C334" s="99"/>
      <c r="D334" s="99"/>
      <c r="E334" s="99"/>
      <c r="F334" s="147" t="s">
        <v>309</v>
      </c>
      <c r="G334" s="147"/>
      <c r="H334" s="147"/>
      <c r="I334" s="147" t="s">
        <v>310</v>
      </c>
      <c r="J334" s="99"/>
      <c r="K334" s="99"/>
      <c r="L334" s="99"/>
      <c r="M334" s="99"/>
      <c r="N334" s="99"/>
    </row>
  </sheetData>
  <mergeCells count="9">
    <mergeCell ref="A166:J166"/>
    <mergeCell ref="A167:J167"/>
    <mergeCell ref="A168:J168"/>
    <mergeCell ref="A1:I1"/>
    <mergeCell ref="A2:I2"/>
    <mergeCell ref="A3:I3"/>
    <mergeCell ref="A90:I90"/>
    <mergeCell ref="A91:I91"/>
    <mergeCell ref="A92:I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8-18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2018-10-09T00:31:04Z</dcterms:created>
  <dcterms:modified xsi:type="dcterms:W3CDTF">2018-10-09T00:33:21Z</dcterms:modified>
</cp:coreProperties>
</file>