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1570" windowHeight="6870"/>
  </bookViews>
  <sheets>
    <sheet name="06-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3" i="1" l="1"/>
  <c r="L362" i="1"/>
  <c r="L361" i="1"/>
  <c r="O360" i="1"/>
  <c r="L360" i="1"/>
  <c r="P359" i="1"/>
  <c r="O359" i="1"/>
  <c r="N359" i="1"/>
  <c r="L359" i="1"/>
  <c r="G267" i="1"/>
  <c r="I266" i="1"/>
  <c r="I186" i="1"/>
  <c r="G184" i="1"/>
  <c r="I180" i="1"/>
  <c r="G180" i="1"/>
  <c r="I178" i="1"/>
  <c r="G178" i="1"/>
  <c r="B145" i="1"/>
  <c r="D144" i="1"/>
  <c r="C144" i="1"/>
  <c r="B144" i="1"/>
  <c r="E143" i="1"/>
  <c r="F143" i="1" s="1"/>
  <c r="G143" i="1" s="1"/>
  <c r="E142" i="1"/>
  <c r="F142" i="1" s="1"/>
  <c r="F141" i="1"/>
  <c r="G141" i="1" s="1"/>
  <c r="E141" i="1"/>
  <c r="F140" i="1"/>
  <c r="G140" i="1" s="1"/>
  <c r="E140" i="1"/>
  <c r="E139" i="1"/>
  <c r="F139" i="1" s="1"/>
  <c r="E138" i="1"/>
  <c r="F138" i="1" s="1"/>
  <c r="F137" i="1"/>
  <c r="G137" i="1" s="1"/>
  <c r="E137" i="1"/>
  <c r="F136" i="1"/>
  <c r="E136" i="1"/>
  <c r="E135" i="1"/>
  <c r="F135" i="1" s="1"/>
  <c r="G135" i="1" s="1"/>
  <c r="E134" i="1"/>
  <c r="F134" i="1" s="1"/>
  <c r="G134" i="1" s="1"/>
  <c r="E133" i="1"/>
  <c r="F133" i="1" s="1"/>
  <c r="G133" i="1" s="1"/>
  <c r="F132" i="1"/>
  <c r="G132" i="1" s="1"/>
  <c r="E132" i="1"/>
  <c r="E131" i="1"/>
  <c r="F131" i="1" s="1"/>
  <c r="E130" i="1"/>
  <c r="F130" i="1" s="1"/>
  <c r="G130" i="1" s="1"/>
  <c r="F129" i="1"/>
  <c r="G129" i="1" s="1"/>
  <c r="E129" i="1"/>
  <c r="E128" i="1"/>
  <c r="F128" i="1" s="1"/>
  <c r="G128" i="1" s="1"/>
  <c r="E127" i="1"/>
  <c r="F127" i="1" s="1"/>
  <c r="F126" i="1"/>
  <c r="G126" i="1" s="1"/>
  <c r="E126" i="1"/>
  <c r="E125" i="1"/>
  <c r="F125" i="1" s="1"/>
  <c r="G125" i="1" s="1"/>
  <c r="O124" i="1"/>
  <c r="O362" i="1" s="1"/>
  <c r="N124" i="1"/>
  <c r="E124" i="1"/>
  <c r="F124" i="1" s="1"/>
  <c r="G124" i="1" s="1"/>
  <c r="O123" i="1"/>
  <c r="O361" i="1" s="1"/>
  <c r="N123" i="1"/>
  <c r="M361" i="1" s="1"/>
  <c r="F123" i="1"/>
  <c r="G123" i="1" s="1"/>
  <c r="E123" i="1"/>
  <c r="O122" i="1"/>
  <c r="F122" i="1"/>
  <c r="G122" i="1" s="1"/>
  <c r="E122" i="1"/>
  <c r="O121" i="1"/>
  <c r="N121" i="1"/>
  <c r="F121" i="1"/>
  <c r="G121" i="1" s="1"/>
  <c r="E121" i="1"/>
  <c r="E120" i="1"/>
  <c r="F120" i="1" s="1"/>
  <c r="G120" i="1" s="1"/>
  <c r="O119" i="1"/>
  <c r="E119" i="1"/>
  <c r="F119" i="1" s="1"/>
  <c r="G119" i="1" s="1"/>
  <c r="G118" i="1"/>
  <c r="E118" i="1"/>
  <c r="F118" i="1" s="1"/>
  <c r="F117" i="1"/>
  <c r="G117" i="1" s="1"/>
  <c r="E117" i="1"/>
  <c r="E116" i="1"/>
  <c r="F116" i="1" s="1"/>
  <c r="G116" i="1" s="1"/>
  <c r="E115" i="1"/>
  <c r="F115" i="1" s="1"/>
  <c r="G115" i="1" s="1"/>
  <c r="F114" i="1"/>
  <c r="E114" i="1"/>
  <c r="E113" i="1"/>
  <c r="F113" i="1" s="1"/>
  <c r="G112" i="1"/>
  <c r="E112" i="1"/>
  <c r="F112" i="1" s="1"/>
  <c r="F111" i="1"/>
  <c r="G111" i="1" s="1"/>
  <c r="E111" i="1"/>
  <c r="E110" i="1"/>
  <c r="F110" i="1" s="1"/>
  <c r="D108" i="1"/>
  <c r="D145" i="1" s="1"/>
  <c r="C108" i="1"/>
  <c r="B108" i="1"/>
  <c r="M107" i="1"/>
  <c r="F107" i="1"/>
  <c r="E107" i="1"/>
  <c r="M106" i="1"/>
  <c r="E106" i="1"/>
  <c r="F106" i="1" s="1"/>
  <c r="M105" i="1"/>
  <c r="E105" i="1"/>
  <c r="F105" i="1" s="1"/>
  <c r="G105" i="1" s="1"/>
  <c r="E104" i="1"/>
  <c r="F104" i="1" s="1"/>
  <c r="G104" i="1" s="1"/>
  <c r="M103" i="1"/>
  <c r="E103" i="1"/>
  <c r="C101" i="1"/>
  <c r="E101" i="1" s="1"/>
  <c r="M102" i="1" s="1"/>
  <c r="B34" i="1"/>
  <c r="B12" i="1" s="1"/>
  <c r="H12" i="1" s="1"/>
  <c r="I16" i="1"/>
  <c r="G16" i="1"/>
  <c r="F16" i="1"/>
  <c r="E16" i="1"/>
  <c r="I182" i="1" s="1"/>
  <c r="D16" i="1"/>
  <c r="H15" i="1"/>
  <c r="H14" i="1"/>
  <c r="G14" i="1"/>
  <c r="B13" i="1"/>
  <c r="H13" i="1" s="1"/>
  <c r="B11" i="1"/>
  <c r="B16" i="1" s="1"/>
  <c r="I176" i="1" s="1"/>
  <c r="I10" i="1"/>
  <c r="H10" i="1"/>
  <c r="H9" i="1"/>
  <c r="H8" i="1"/>
  <c r="I268" i="1" l="1"/>
  <c r="N119" i="1"/>
  <c r="G176" i="1"/>
  <c r="H11" i="1"/>
  <c r="E108" i="1"/>
  <c r="F144" i="1"/>
  <c r="G144" i="1" s="1"/>
  <c r="C145" i="1"/>
  <c r="F103" i="1"/>
  <c r="F108" i="1" s="1"/>
  <c r="G108" i="1" s="1"/>
  <c r="G110" i="1"/>
  <c r="O363" i="1"/>
  <c r="E145" i="1"/>
  <c r="E147" i="1" s="1"/>
  <c r="M109" i="1" s="1"/>
  <c r="M362" i="1"/>
  <c r="G182" i="1"/>
  <c r="H16" i="1"/>
  <c r="M360" i="1"/>
  <c r="F101" i="1"/>
  <c r="M104" i="1"/>
  <c r="L178" i="1"/>
  <c r="M178" i="1" s="1"/>
  <c r="L186" i="1"/>
  <c r="M186" i="1" s="1"/>
  <c r="G186" i="1"/>
  <c r="N122" i="1"/>
  <c r="E144" i="1"/>
  <c r="N125" i="1" l="1"/>
  <c r="M359" i="1"/>
  <c r="L265" i="1"/>
  <c r="M265" i="1" s="1"/>
  <c r="L261" i="1"/>
  <c r="M261" i="1" s="1"/>
  <c r="L256" i="1"/>
  <c r="M256" i="1" s="1"/>
  <c r="L252" i="1"/>
  <c r="M252" i="1" s="1"/>
  <c r="L248" i="1"/>
  <c r="M248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20" i="1"/>
  <c r="M220" i="1" s="1"/>
  <c r="L216" i="1"/>
  <c r="M216" i="1" s="1"/>
  <c r="L212" i="1"/>
  <c r="M212" i="1" s="1"/>
  <c r="L208" i="1"/>
  <c r="M208" i="1" s="1"/>
  <c r="L204" i="1"/>
  <c r="M204" i="1" s="1"/>
  <c r="L200" i="1"/>
  <c r="M200" i="1" s="1"/>
  <c r="L196" i="1"/>
  <c r="M196" i="1" s="1"/>
  <c r="L192" i="1"/>
  <c r="M192" i="1" s="1"/>
  <c r="L188" i="1"/>
  <c r="M188" i="1" s="1"/>
  <c r="L260" i="1"/>
  <c r="M260" i="1" s="1"/>
  <c r="L251" i="1"/>
  <c r="M251" i="1" s="1"/>
  <c r="L243" i="1"/>
  <c r="M243" i="1" s="1"/>
  <c r="L235" i="1"/>
  <c r="M235" i="1" s="1"/>
  <c r="L227" i="1"/>
  <c r="M227" i="1" s="1"/>
  <c r="L219" i="1"/>
  <c r="M219" i="1" s="1"/>
  <c r="L211" i="1"/>
  <c r="M211" i="1" s="1"/>
  <c r="L203" i="1"/>
  <c r="M203" i="1" s="1"/>
  <c r="L191" i="1"/>
  <c r="M191" i="1" s="1"/>
  <c r="L264" i="1"/>
  <c r="M264" i="1" s="1"/>
  <c r="L255" i="1"/>
  <c r="M255" i="1" s="1"/>
  <c r="L247" i="1"/>
  <c r="M247" i="1" s="1"/>
  <c r="L239" i="1"/>
  <c r="M239" i="1" s="1"/>
  <c r="L231" i="1"/>
  <c r="M231" i="1" s="1"/>
  <c r="L223" i="1"/>
  <c r="M223" i="1" s="1"/>
  <c r="L215" i="1"/>
  <c r="M215" i="1" s="1"/>
  <c r="L207" i="1"/>
  <c r="M207" i="1" s="1"/>
  <c r="L199" i="1"/>
  <c r="M199" i="1" s="1"/>
  <c r="L195" i="1"/>
  <c r="M195" i="1" s="1"/>
  <c r="L263" i="1"/>
  <c r="M263" i="1" s="1"/>
  <c r="L259" i="1"/>
  <c r="M259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245" i="1"/>
  <c r="M245" i="1" s="1"/>
  <c r="L213" i="1"/>
  <c r="M213" i="1" s="1"/>
  <c r="L233" i="1"/>
  <c r="M233" i="1" s="1"/>
  <c r="L253" i="1"/>
  <c r="M253" i="1" s="1"/>
  <c r="L221" i="1"/>
  <c r="M221" i="1" s="1"/>
  <c r="L201" i="1"/>
  <c r="M201" i="1" s="1"/>
  <c r="L193" i="1"/>
  <c r="M193" i="1" s="1"/>
  <c r="L184" i="1"/>
  <c r="M184" i="1" s="1"/>
  <c r="L241" i="1"/>
  <c r="M241" i="1" s="1"/>
  <c r="L209" i="1"/>
  <c r="M209" i="1" s="1"/>
  <c r="L262" i="1"/>
  <c r="M262" i="1" s="1"/>
  <c r="L229" i="1"/>
  <c r="M229" i="1" s="1"/>
  <c r="L249" i="1"/>
  <c r="M249" i="1" s="1"/>
  <c r="L217" i="1"/>
  <c r="M217" i="1" s="1"/>
  <c r="L237" i="1"/>
  <c r="M237" i="1" s="1"/>
  <c r="L205" i="1"/>
  <c r="M205" i="1" s="1"/>
  <c r="L197" i="1"/>
  <c r="M197" i="1" s="1"/>
  <c r="L189" i="1"/>
  <c r="M189" i="1" s="1"/>
  <c r="L257" i="1"/>
  <c r="M257" i="1" s="1"/>
  <c r="L225" i="1"/>
  <c r="M225" i="1" s="1"/>
  <c r="L182" i="1"/>
  <c r="M182" i="1" s="1"/>
  <c r="L266" i="1"/>
  <c r="M266" i="1" s="1"/>
  <c r="L180" i="1"/>
  <c r="M180" i="1" s="1"/>
  <c r="P122" i="1"/>
  <c r="M363" i="1"/>
  <c r="L176" i="1"/>
  <c r="M176" i="1" s="1"/>
  <c r="F145" i="1"/>
  <c r="G145" i="1" s="1"/>
  <c r="G101" i="1"/>
  <c r="M110" i="1"/>
  <c r="N104" i="1" s="1"/>
  <c r="L104" i="1" s="1"/>
  <c r="N109" i="1" l="1"/>
  <c r="L109" i="1" s="1"/>
  <c r="M364" i="1"/>
  <c r="K359" i="1" s="1"/>
  <c r="N363" i="1"/>
  <c r="Q122" i="1"/>
  <c r="P363" i="1" s="1"/>
  <c r="N108" i="1"/>
  <c r="N102" i="1"/>
  <c r="N105" i="1"/>
  <c r="L105" i="1" s="1"/>
  <c r="N106" i="1"/>
  <c r="L106" i="1" s="1"/>
  <c r="N107" i="1"/>
  <c r="L107" i="1" s="1"/>
  <c r="N103" i="1"/>
  <c r="L103" i="1" s="1"/>
  <c r="J270" i="1"/>
  <c r="P123" i="1"/>
  <c r="P124" i="1"/>
  <c r="P121" i="1"/>
  <c r="L102" i="1" l="1"/>
  <c r="N110" i="1"/>
  <c r="N362" i="1"/>
  <c r="Q124" i="1"/>
  <c r="P362" i="1" s="1"/>
  <c r="N361" i="1"/>
  <c r="Q123" i="1"/>
  <c r="P361" i="1" s="1"/>
  <c r="N360" i="1"/>
  <c r="N364" i="1" s="1"/>
  <c r="P125" i="1"/>
  <c r="Q121" i="1"/>
  <c r="K361" i="1"/>
  <c r="K360" i="1"/>
  <c r="K362" i="1"/>
  <c r="K363" i="1"/>
  <c r="P360" i="1" l="1"/>
  <c r="P364" i="1" s="1"/>
  <c r="Q125" i="1"/>
</calcChain>
</file>

<file path=xl/sharedStrings.xml><?xml version="1.0" encoding="utf-8"?>
<sst xmlns="http://schemas.openxmlformats.org/spreadsheetml/2006/main" count="445" uniqueCount="321">
  <si>
    <t>CITY OF RANCHO PALOS VERDES</t>
  </si>
  <si>
    <t>MONTHLY TREASURER'S REPORT</t>
  </si>
  <si>
    <t>JUNE 2019 (PRELIMINARY)</t>
  </si>
  <si>
    <t>The June Treasurer Report will be re-submitted after the year-end adjustment is completed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</si>
  <si>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</si>
  <si>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</si>
  <si>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</si>
  <si>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</si>
  <si>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</si>
  <si>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</si>
  <si>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</si>
  <si>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</si>
  <si>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</si>
  <si>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</si>
  <si>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</si>
  <si>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</si>
  <si>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</si>
  <si>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</si>
  <si>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</si>
  <si>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</si>
  <si>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</si>
  <si>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</si>
  <si>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</si>
  <si>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</si>
  <si>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</si>
  <si>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</si>
  <si>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</si>
  <si>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</si>
  <si>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</si>
  <si>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</si>
  <si>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</si>
  <si>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</si>
  <si>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</si>
  <si>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</si>
  <si>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Petty Cash Reimb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</si>
  <si>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</si>
  <si>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</si>
  <si>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</si>
  <si>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</si>
  <si>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</si>
  <si>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</si>
  <si>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checks, returned item, and other adjustments.</t>
  </si>
  <si>
    <t>JUNE 2019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</si>
  <si>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</si>
  <si>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</si>
  <si>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</si>
  <si>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</si>
  <si>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</si>
  <si>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</si>
  <si>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</si>
  <si>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</si>
  <si>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</si>
  <si>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</si>
  <si>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</si>
  <si>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</si>
  <si>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</si>
  <si>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</si>
  <si>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</si>
  <si>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</si>
  <si>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</si>
  <si>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</si>
  <si>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</si>
  <si>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</si>
  <si>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</si>
  <si>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</si>
  <si>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</si>
  <si>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</si>
  <si>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</si>
  <si>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</si>
  <si>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</si>
  <si>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</si>
  <si>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</si>
  <si>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</si>
  <si>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</si>
  <si>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</si>
  <si>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</si>
  <si>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</si>
  <si>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</si>
  <si>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</si>
  <si>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</si>
  <si>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</si>
  <si>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</si>
  <si>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</si>
  <si>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</si>
  <si>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</si>
  <si>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</si>
  <si>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</si>
  <si>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</si>
  <si>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</si>
  <si>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</si>
  <si>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</si>
  <si>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</si>
  <si>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</si>
  <si>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</si>
  <si>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</si>
  <si>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</si>
  <si>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</si>
  <si>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</si>
  <si>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</si>
  <si>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</si>
  <si>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</si>
  <si>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</si>
  <si>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</si>
  <si>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</si>
  <si>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</si>
  <si>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</si>
  <si>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</si>
  <si>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</si>
  <si>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</si>
  <si>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</si>
  <si>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</si>
  <si>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</si>
  <si>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</si>
  <si>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</si>
  <si>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</si>
  <si>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</si>
  <si>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</si>
  <si>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</si>
  <si>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</si>
  <si>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</si>
  <si>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</si>
  <si>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</si>
  <si>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</si>
  <si>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</si>
  <si>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</si>
  <si>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</si>
  <si>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</si>
  <si>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</si>
  <si>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</si>
  <si>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</si>
  <si>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</si>
  <si>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</si>
  <si>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</si>
  <si>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</si>
  <si>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</si>
  <si>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</si>
  <si>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 xml:space="preserve">   Note (1)</t>
  </si>
  <si>
    <t>CD - Non-Negotiable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</si>
  <si>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</si>
  <si>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</si>
  <si>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</si>
  <si>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</si>
  <si>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</si>
  <si>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</si>
  <si>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</si>
  <si>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</si>
  <si>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</si>
  <si>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</si>
  <si>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</si>
  <si>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</si>
  <si>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</si>
  <si>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Bank of New England NH</t>
  </si>
  <si>
    <t>063847AM9</t>
  </si>
  <si>
    <t>36 Mos</t>
  </si>
  <si>
    <t>Bankers Bank Madison WI</t>
  </si>
  <si>
    <t>06610RAT6</t>
  </si>
  <si>
    <t>Bankers Bank of the West</t>
  </si>
  <si>
    <t>06610TDN2</t>
  </si>
  <si>
    <t>Bar Harbor Bank &amp; Trust</t>
  </si>
  <si>
    <t>066851WV4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</si>
  <si>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</si>
  <si>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</si>
  <si>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</si>
  <si>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</si>
  <si>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</si>
  <si>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</si>
  <si>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</si>
  <si>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</si>
  <si>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</si>
  <si>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</si>
  <si>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NA</t>
  </si>
  <si>
    <t>14042RDA6</t>
  </si>
  <si>
    <t>Carroll County State Bank Iowa</t>
  </si>
  <si>
    <t>145087AF9</t>
  </si>
  <si>
    <t>Community Finl SVCS Bank</t>
  </si>
  <si>
    <t>20364ABW4</t>
  </si>
  <si>
    <t>Continental Bank UT</t>
  </si>
  <si>
    <t>211163GY0</t>
  </si>
  <si>
    <t>Crossfirst Bank</t>
  </si>
  <si>
    <t>22766ABB0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</si>
  <si>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</si>
  <si>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</si>
  <si>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</si>
  <si>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</si>
  <si>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</si>
  <si>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</si>
  <si>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</si>
  <si>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</si>
  <si>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</si>
  <si>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</si>
  <si>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</si>
  <si>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</si>
  <si>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</si>
  <si>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</si>
  <si>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</si>
  <si>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</si>
  <si>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</si>
  <si>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</si>
  <si>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</si>
  <si>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</si>
  <si>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</si>
  <si>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</si>
  <si>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</si>
  <si>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</si>
  <si>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Flagstar Bank</t>
  </si>
  <si>
    <t>33847E2J5</t>
  </si>
  <si>
    <t>Gold Cast Bank/Chicago</t>
  </si>
  <si>
    <t>38058KDM5</t>
  </si>
  <si>
    <t>45 Mos</t>
  </si>
  <si>
    <t>Goldman Sachs Bank USA</t>
  </si>
  <si>
    <t>38149MAU7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</si>
  <si>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</si>
  <si>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</si>
  <si>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</si>
  <si>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</si>
  <si>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</si>
  <si>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</si>
  <si>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</si>
  <si>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</si>
  <si>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</si>
  <si>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</si>
  <si>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</si>
  <si>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</si>
  <si>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</si>
  <si>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</si>
  <si>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</si>
  <si>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</si>
  <si>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</si>
  <si>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</si>
  <si>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</si>
  <si>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</si>
  <si>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</si>
  <si>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</si>
  <si>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</si>
  <si>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</si>
  <si>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</si>
  <si>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</si>
  <si>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</si>
  <si>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</si>
  <si>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</si>
  <si>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</si>
  <si>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</si>
  <si>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</si>
  <si>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</si>
  <si>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</si>
  <si>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</si>
  <si>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</si>
  <si>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</si>
  <si>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</si>
  <si>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</si>
  <si>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</si>
  <si>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</si>
  <si>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</si>
  <si>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</si>
  <si>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</si>
  <si>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</si>
  <si>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</si>
  <si>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</si>
  <si>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</si>
  <si>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</si>
  <si>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</si>
  <si>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</si>
  <si>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</si>
  <si>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</si>
  <si>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</si>
  <si>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</si>
  <si>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</si>
  <si>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</si>
  <si>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</si>
  <si>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</si>
  <si>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</si>
  <si>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</si>
  <si>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</si>
  <si>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</si>
  <si>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</si>
  <si>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</si>
  <si>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</si>
  <si>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</si>
  <si>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</si>
  <si>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</si>
  <si>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</si>
  <si>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</si>
  <si>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</si>
  <si>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Wells Fargo Bank</t>
  </si>
  <si>
    <t>949763D45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</si>
  <si>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</si>
  <si>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</si>
  <si>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</si>
  <si>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</si>
  <si>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</si>
  <si>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</si>
  <si>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</si>
  <si>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</si>
  <si>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</si>
  <si>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</si>
  <si>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</si>
  <si>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</si>
  <si>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</si>
  <si>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</si>
  <si>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</si>
  <si>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912828XH8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</si>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</sst>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5" fillId="0" borderId="0" xfId="0" applyNumberFormat="1" applyFont="1" applyFill="1" applyAlignment="1">
      <alignment horizontal="center"/>
    </xf>
    <xf numFmtId="49" fontId="2" fillId="0" borderId="0" xfId="0" applyNumberFormat="1" applyFont="1" applyAlignment="1"/>
    <xf numFmtId="164" fontId="6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Continuous"/>
    </xf>
    <xf numFmtId="43" fontId="8" fillId="0" borderId="0" xfId="1" applyFont="1"/>
    <xf numFmtId="43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39" fontId="8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9" fontId="6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39" fontId="8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5" xfId="0" applyFont="1" applyBorder="1"/>
    <xf numFmtId="0" fontId="8" fillId="0" borderId="5" xfId="0" applyFont="1" applyBorder="1" applyAlignment="1"/>
    <xf numFmtId="0" fontId="8" fillId="0" borderId="5" xfId="0" applyFont="1" applyBorder="1" applyAlignment="1">
      <alignment horizontal="center"/>
    </xf>
    <xf numFmtId="39" fontId="8" fillId="0" borderId="5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39" fontId="8" fillId="2" borderId="5" xfId="0" applyNumberFormat="1" applyFont="1" applyFill="1" applyBorder="1"/>
    <xf numFmtId="9" fontId="8" fillId="2" borderId="5" xfId="2" applyFont="1" applyFill="1" applyBorder="1"/>
    <xf numFmtId="43" fontId="3" fillId="0" borderId="0" xfId="1" applyFont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39" fontId="8" fillId="0" borderId="5" xfId="0" applyNumberFormat="1" applyFont="1" applyBorder="1"/>
    <xf numFmtId="39" fontId="8" fillId="0" borderId="5" xfId="0" applyNumberFormat="1" applyFont="1" applyFill="1" applyBorder="1"/>
    <xf numFmtId="9" fontId="8" fillId="0" borderId="5" xfId="2" applyFont="1" applyBorder="1"/>
    <xf numFmtId="9" fontId="8" fillId="0" borderId="0" xfId="2" applyFont="1" applyBorder="1"/>
    <xf numFmtId="9" fontId="8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9" fontId="3" fillId="0" borderId="0" xfId="2" applyNumberFormat="1" applyFont="1"/>
    <xf numFmtId="0" fontId="8" fillId="0" borderId="5" xfId="0" applyFont="1" applyBorder="1" applyAlignment="1">
      <alignment horizontal="left"/>
    </xf>
    <xf numFmtId="39" fontId="8" fillId="0" borderId="6" xfId="0" applyNumberFormat="1" applyFont="1" applyBorder="1"/>
    <xf numFmtId="39" fontId="8" fillId="0" borderId="0" xfId="0" applyNumberFormat="1" applyFont="1"/>
    <xf numFmtId="39" fontId="8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9" fontId="8" fillId="0" borderId="5" xfId="2" applyFont="1" applyFill="1" applyBorder="1"/>
    <xf numFmtId="9" fontId="8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8" fillId="0" borderId="5" xfId="0" quotePrefix="1" applyFont="1" applyBorder="1" applyAlignment="1">
      <alignment horizontal="left"/>
    </xf>
    <xf numFmtId="0" fontId="8" fillId="0" borderId="5" xfId="0" applyFont="1" applyBorder="1"/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8" fillId="2" borderId="8" xfId="0" applyNumberFormat="1" applyFont="1" applyFill="1" applyBorder="1"/>
    <xf numFmtId="43" fontId="3" fillId="0" borderId="0" xfId="2" applyNumberFormat="1" applyFont="1" applyBorder="1"/>
    <xf numFmtId="39" fontId="8" fillId="2" borderId="9" xfId="0" applyNumberFormat="1" applyFont="1" applyFill="1" applyBorder="1"/>
    <xf numFmtId="9" fontId="3" fillId="0" borderId="0" xfId="2" applyFont="1" applyFill="1" applyBorder="1"/>
    <xf numFmtId="39" fontId="8" fillId="0" borderId="0" xfId="0" applyNumberFormat="1" applyFont="1" applyBorder="1"/>
    <xf numFmtId="0" fontId="8" fillId="0" borderId="0" xfId="0" quotePrefix="1" applyFont="1"/>
    <xf numFmtId="9" fontId="8" fillId="0" borderId="0" xfId="0" quotePrefix="1" applyNumberFormat="1" applyFont="1" applyBorder="1"/>
    <xf numFmtId="0" fontId="3" fillId="0" borderId="0" xfId="0" quotePrefix="1" applyFont="1" applyFill="1"/>
    <xf numFmtId="39" fontId="8" fillId="0" borderId="4" xfId="0" applyNumberFormat="1" applyFont="1" applyBorder="1"/>
    <xf numFmtId="43" fontId="3" fillId="0" borderId="0" xfId="2" applyNumberFormat="1" applyFont="1" applyFill="1" applyBorder="1"/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3" fontId="3" fillId="0" borderId="0" xfId="0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2" fontId="11" fillId="4" borderId="5" xfId="0" applyNumberFormat="1" applyFont="1" applyFill="1" applyBorder="1" applyAlignment="1">
      <alignment vertical="center"/>
    </xf>
    <xf numFmtId="9" fontId="11" fillId="4" borderId="5" xfId="0" applyNumberFormat="1" applyFont="1" applyFill="1" applyBorder="1" applyAlignment="1">
      <alignment horizontal="center" vertical="center"/>
    </xf>
    <xf numFmtId="10" fontId="11" fillId="4" borderId="5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vertical="center"/>
    </xf>
    <xf numFmtId="165" fontId="11" fillId="4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42" fontId="10" fillId="5" borderId="5" xfId="0" applyNumberFormat="1" applyFont="1" applyFill="1" applyBorder="1" applyAlignment="1">
      <alignment vertical="center"/>
    </xf>
    <xf numFmtId="10" fontId="10" fillId="5" borderId="5" xfId="2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JUNE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4254636129140187E-2"/>
                  <c:y val="8.10511756569847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7489063867016621E-2"/>
                  <c:y val="8.8980298624497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6392624694522999E-3"/>
                  <c:y val="2.40533211356877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'[1]06-19 (2)'!$L$102:$L$109</c:f>
              <c:strCache>
                <c:ptCount val="8"/>
                <c:pt idx="0">
                  <c:v>GENERAL FUND 31%</c:v>
                </c:pt>
                <c:pt idx="1">
                  <c:v>CIP 42%</c:v>
                </c:pt>
                <c:pt idx="2">
                  <c:v>EQUIPMENT REPLACEMENT 4%</c:v>
                </c:pt>
                <c:pt idx="3">
                  <c:v>1911 ACT 2%</c:v>
                </c:pt>
                <c:pt idx="4">
                  <c:v>HABITAT RESTORATION 1%</c:v>
                </c:pt>
                <c:pt idx="5">
                  <c:v>QUIMBY 3%</c:v>
                </c:pt>
                <c:pt idx="7">
                  <c:v>OTHER RESTRICTED FUNDS 17%</c:v>
                </c:pt>
              </c:strCache>
            </c:strRef>
          </c:cat>
          <c:val>
            <c:numRef>
              <c:f>'[1]06-19 (2)'!$M$102:$M$109</c:f>
              <c:numCache>
                <c:formatCode>General</c:formatCode>
                <c:ptCount val="8"/>
                <c:pt idx="0">
                  <c:v>19807252.390000001</c:v>
                </c:pt>
                <c:pt idx="1">
                  <c:v>26544832.389999997</c:v>
                </c:pt>
                <c:pt idx="2">
                  <c:v>2672646.669999999</c:v>
                </c:pt>
                <c:pt idx="3">
                  <c:v>1495314.1300000001</c:v>
                </c:pt>
                <c:pt idx="4">
                  <c:v>939371.28999999992</c:v>
                </c:pt>
                <c:pt idx="5">
                  <c:v>1711181.2999999998</c:v>
                </c:pt>
                <c:pt idx="7">
                  <c:v>10836042.560000002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'[1]06-19 (2)'!$M$119:$M$124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'[1]06-19 (2)'!$N$119:$N$124</c:f>
              <c:numCache>
                <c:formatCode>General</c:formatCode>
                <c:ptCount val="6"/>
                <c:pt idx="0">
                  <c:v>5329765.0100000016</c:v>
                </c:pt>
                <c:pt idx="2">
                  <c:v>31259265.489999995</c:v>
                </c:pt>
                <c:pt idx="3">
                  <c:v>4149553.75</c:v>
                </c:pt>
                <c:pt idx="4">
                  <c:v>17450000</c:v>
                </c:pt>
                <c:pt idx="5">
                  <c:v>6000000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'[1]06-19 (2)'!$M$119:$M$124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'[1]06-19 (2)'!$N$119:$N$124</c:f>
              <c:numCache>
                <c:formatCode>General</c:formatCode>
                <c:ptCount val="6"/>
                <c:pt idx="0">
                  <c:v>5329765.0100000016</c:v>
                </c:pt>
                <c:pt idx="2">
                  <c:v>31259265.489999995</c:v>
                </c:pt>
                <c:pt idx="3">
                  <c:v>4149553.75</c:v>
                </c:pt>
                <c:pt idx="4">
                  <c:v>17450000</c:v>
                </c:pt>
                <c:pt idx="5">
                  <c:v>6000000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 baseline="0"/>
              <a:t>JUNE 2019</a:t>
            </a:r>
            <a:endParaRPr lang="en-US" b="1"/>
          </a:p>
        </c:rich>
      </c:tx>
      <c:layout>
        <c:manualLayout>
          <c:xMode val="edge"/>
          <c:yMode val="edge"/>
          <c:x val="0.26027269318607904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'[1]06-19 (2)'!$M$119:$M$124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'[1]06-19 (2)'!$N$119:$N$124</c:f>
              <c:numCache>
                <c:formatCode>General</c:formatCode>
                <c:ptCount val="6"/>
                <c:pt idx="0">
                  <c:v>5329765.0100000016</c:v>
                </c:pt>
                <c:pt idx="2">
                  <c:v>31259265.489999995</c:v>
                </c:pt>
                <c:pt idx="3">
                  <c:v>4149553.75</c:v>
                </c:pt>
                <c:pt idx="4">
                  <c:v>17450000</c:v>
                </c:pt>
                <c:pt idx="5">
                  <c:v>6000000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43</xdr:row>
      <xdr:rowOff>5715</xdr:rowOff>
    </xdr:from>
    <xdr:to>
      <xdr:col>9</xdr:col>
      <xdr:colOff>38100</xdr:colOff>
      <xdr:row>75</xdr:row>
      <xdr:rowOff>24765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134</xdr:row>
      <xdr:rowOff>9524</xdr:rowOff>
    </xdr:from>
    <xdr:to>
      <xdr:col>15</xdr:col>
      <xdr:colOff>1009650</xdr:colOff>
      <xdr:row>167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284</xdr:row>
      <xdr:rowOff>9525</xdr:rowOff>
    </xdr:from>
    <xdr:to>
      <xdr:col>8</xdr:col>
      <xdr:colOff>590550</xdr:colOff>
      <xdr:row>320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847724</xdr:colOff>
      <xdr:row>317</xdr:row>
      <xdr:rowOff>104775</xdr:rowOff>
    </xdr:from>
    <xdr:to>
      <xdr:col>16</xdr:col>
      <xdr:colOff>190499</xdr:colOff>
      <xdr:row>353</xdr:row>
      <xdr:rowOff>38101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  <sheetName val="02-19"/>
      <sheetName val="03-19"/>
      <sheetName val="04-19"/>
      <sheetName val="05-19"/>
      <sheetName val="05-19 revised"/>
      <sheetName val="06-19"/>
      <sheetName val="06-19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2">
          <cell r="L102" t="str">
            <v>GENERAL FUND 31%</v>
          </cell>
          <cell r="M102">
            <v>19807252.390000001</v>
          </cell>
        </row>
        <row r="103">
          <cell r="L103" t="str">
            <v>CIP 42%</v>
          </cell>
          <cell r="M103">
            <v>26544832.389999997</v>
          </cell>
        </row>
        <row r="104">
          <cell r="L104" t="str">
            <v>EQUIPMENT REPLACEMENT 4%</v>
          </cell>
          <cell r="M104">
            <v>2672646.669999999</v>
          </cell>
        </row>
        <row r="105">
          <cell r="L105" t="str">
            <v>1911 ACT 2%</v>
          </cell>
          <cell r="M105">
            <v>1495314.1300000001</v>
          </cell>
        </row>
        <row r="106">
          <cell r="L106" t="str">
            <v>HABITAT RESTORATION 1%</v>
          </cell>
          <cell r="M106">
            <v>939371.28999999992</v>
          </cell>
        </row>
        <row r="107">
          <cell r="L107" t="str">
            <v>QUIMBY 3%</v>
          </cell>
          <cell r="M107">
            <v>1711181.2999999998</v>
          </cell>
        </row>
        <row r="108">
          <cell r="L108"/>
          <cell r="M108"/>
        </row>
        <row r="109">
          <cell r="L109" t="str">
            <v>OTHER RESTRICTED FUNDS 17%</v>
          </cell>
          <cell r="M109">
            <v>10836042.560000002</v>
          </cell>
        </row>
        <row r="119">
          <cell r="M119" t="str">
            <v>Bank of the West</v>
          </cell>
          <cell r="N119">
            <v>5329765.0100000016</v>
          </cell>
        </row>
        <row r="120">
          <cell r="M120"/>
          <cell r="N120"/>
        </row>
        <row r="121">
          <cell r="M121" t="str">
            <v>State of California - LAIF</v>
          </cell>
          <cell r="N121">
            <v>31259265.489999995</v>
          </cell>
        </row>
        <row r="122">
          <cell r="M122" t="str">
            <v>Malaga Bank - CD</v>
          </cell>
          <cell r="N122">
            <v>4149553.75</v>
          </cell>
        </row>
        <row r="123">
          <cell r="M123" t="str">
            <v>Vining Sparks - CD</v>
          </cell>
          <cell r="N123">
            <v>17450000</v>
          </cell>
        </row>
        <row r="124">
          <cell r="M124" t="str">
            <v>Vining Sparks - Treasury</v>
          </cell>
          <cell r="N124">
            <v>6000000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7"/>
  <sheetViews>
    <sheetView tabSelected="1" workbookViewId="0">
      <selection sqref="A1:XFD1048576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2.5703125" style="3" bestFit="1" customWidth="1"/>
    <col min="10" max="10" width="5.42578125" style="3" bestFit="1" customWidth="1"/>
    <col min="11" max="11" width="12.85546875" style="3" customWidth="1"/>
    <col min="12" max="12" width="36.5703125" style="3" customWidth="1"/>
    <col min="13" max="16" width="18.28515625" style="3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9" t="s">
        <v>3</v>
      </c>
      <c r="E4" s="8"/>
      <c r="F4" s="10"/>
      <c r="G4" s="8"/>
      <c r="H4" s="8"/>
      <c r="I4" s="8"/>
      <c r="J4" s="8"/>
      <c r="K4" s="8"/>
    </row>
    <row r="5" spans="1:18" x14ac:dyDescent="0.2">
      <c r="A5" s="11"/>
      <c r="B5" s="12" t="s">
        <v>4</v>
      </c>
      <c r="C5" s="12" t="s">
        <v>5</v>
      </c>
      <c r="D5" s="11"/>
      <c r="E5" s="11"/>
      <c r="F5" s="12" t="s">
        <v>6</v>
      </c>
      <c r="G5" s="13"/>
      <c r="H5" s="13"/>
      <c r="I5" s="12" t="s">
        <v>7</v>
      </c>
      <c r="J5" s="13"/>
      <c r="K5" s="12"/>
    </row>
    <row r="6" spans="1:18" x14ac:dyDescent="0.2">
      <c r="A6" s="11"/>
      <c r="B6" s="12" t="s">
        <v>8</v>
      </c>
      <c r="C6" s="12" t="s">
        <v>4</v>
      </c>
      <c r="D6" s="11"/>
      <c r="E6" s="11"/>
      <c r="F6" s="12" t="s">
        <v>9</v>
      </c>
      <c r="G6" s="13" t="s">
        <v>10</v>
      </c>
      <c r="H6" s="13"/>
      <c r="I6" s="12"/>
      <c r="J6" s="13"/>
      <c r="K6" s="12"/>
    </row>
    <row r="7" spans="1:18" ht="12" thickBot="1" x14ac:dyDescent="0.25">
      <c r="A7" s="14"/>
      <c r="B7" s="14" t="s">
        <v>11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14</v>
      </c>
      <c r="H7" s="14" t="s">
        <v>15</v>
      </c>
      <c r="I7" s="14" t="s">
        <v>16</v>
      </c>
      <c r="J7" s="13"/>
      <c r="K7" s="13"/>
    </row>
    <row r="8" spans="1:18" x14ac:dyDescent="0.2">
      <c r="A8" s="15" t="s">
        <v>17</v>
      </c>
      <c r="B8" s="16">
        <v>5865408.6000000015</v>
      </c>
      <c r="C8" s="16"/>
      <c r="D8" s="16">
        <v>5000</v>
      </c>
      <c r="E8" s="16">
        <v>31259265.489999995</v>
      </c>
      <c r="F8" s="16">
        <v>4149553.7499999995</v>
      </c>
      <c r="G8" s="16">
        <v>22314829.029999997</v>
      </c>
      <c r="H8" s="16">
        <f>SUM(B8:G8)</f>
        <v>63594056.86999999</v>
      </c>
      <c r="I8" s="16"/>
      <c r="J8" s="17"/>
      <c r="K8" s="16"/>
    </row>
    <row r="9" spans="1:18" x14ac:dyDescent="0.2">
      <c r="A9" s="15" t="s">
        <v>18</v>
      </c>
      <c r="B9" s="18">
        <v>1814840.73</v>
      </c>
      <c r="C9" s="18"/>
      <c r="D9" s="18"/>
      <c r="E9" s="18"/>
      <c r="F9" s="18"/>
      <c r="G9" s="18"/>
      <c r="H9" s="16">
        <f t="shared" ref="H9:H15" si="0">SUM(B9:G9)</f>
        <v>1814840.73</v>
      </c>
      <c r="I9" s="16"/>
      <c r="J9" s="17"/>
      <c r="K9" s="17"/>
      <c r="R9" s="19"/>
    </row>
    <row r="10" spans="1:18" x14ac:dyDescent="0.2">
      <c r="A10" s="15" t="s">
        <v>19</v>
      </c>
      <c r="B10" s="20"/>
      <c r="C10" s="20"/>
      <c r="D10" s="18"/>
      <c r="E10" s="20"/>
      <c r="F10" s="18"/>
      <c r="G10" s="18"/>
      <c r="H10" s="16">
        <f t="shared" si="0"/>
        <v>0</v>
      </c>
      <c r="I10" s="16">
        <f>167518+16670.84+160816.43+12973.59+181929.15+15344.15</f>
        <v>555252.16</v>
      </c>
      <c r="J10" s="17"/>
      <c r="K10" s="17"/>
      <c r="R10" s="19"/>
    </row>
    <row r="11" spans="1:18" x14ac:dyDescent="0.2">
      <c r="A11" s="15" t="s">
        <v>20</v>
      </c>
      <c r="B11" s="18">
        <f>-1544528.44+15391.76</f>
        <v>-1529136.68</v>
      </c>
      <c r="C11" s="18"/>
      <c r="D11" s="20"/>
      <c r="E11" s="20"/>
      <c r="F11" s="18"/>
      <c r="G11" s="18"/>
      <c r="H11" s="16">
        <f t="shared" si="0"/>
        <v>-1529136.68</v>
      </c>
      <c r="I11" s="16"/>
      <c r="J11" s="17"/>
      <c r="K11" s="17"/>
      <c r="R11" s="19"/>
    </row>
    <row r="12" spans="1:18" x14ac:dyDescent="0.2">
      <c r="A12" s="15" t="s">
        <v>21</v>
      </c>
      <c r="B12" s="18">
        <f>-B34</f>
        <v>-600320.82999999996</v>
      </c>
      <c r="C12" s="18"/>
      <c r="D12" s="20"/>
      <c r="E12" s="20"/>
      <c r="F12" s="20"/>
      <c r="G12" s="18"/>
      <c r="H12" s="16">
        <f t="shared" si="0"/>
        <v>-600320.82999999996</v>
      </c>
      <c r="I12" s="16"/>
      <c r="J12" s="17"/>
      <c r="K12" s="17"/>
      <c r="R12" s="19"/>
    </row>
    <row r="13" spans="1:18" x14ac:dyDescent="0.2">
      <c r="A13" s="15" t="s">
        <v>22</v>
      </c>
      <c r="B13" s="18">
        <f>-388+2039.66-1009-747.02-22695</f>
        <v>-22799.360000000001</v>
      </c>
      <c r="C13" s="18"/>
      <c r="D13" s="18"/>
      <c r="E13" s="18"/>
      <c r="F13" s="18"/>
      <c r="G13" s="18"/>
      <c r="H13" s="16">
        <f t="shared" si="0"/>
        <v>-22799.360000000001</v>
      </c>
      <c r="I13" s="16"/>
      <c r="J13" s="17"/>
      <c r="K13" s="17"/>
    </row>
    <row r="14" spans="1:18" x14ac:dyDescent="0.2">
      <c r="A14" s="15" t="s">
        <v>23</v>
      </c>
      <c r="B14" s="20"/>
      <c r="C14" s="20"/>
      <c r="D14" s="18"/>
      <c r="E14" s="18"/>
      <c r="F14" s="18"/>
      <c r="G14" s="16">
        <f>203227.45+750000</f>
        <v>953227.45</v>
      </c>
      <c r="H14" s="16">
        <f t="shared" si="0"/>
        <v>953227.45</v>
      </c>
      <c r="I14" s="16"/>
      <c r="J14" s="17"/>
      <c r="K14" s="17"/>
    </row>
    <row r="15" spans="1:18" ht="12" thickBot="1" x14ac:dyDescent="0.25">
      <c r="A15" s="21" t="s">
        <v>24</v>
      </c>
      <c r="B15" s="20">
        <v>-203227.45</v>
      </c>
      <c r="C15" s="20"/>
      <c r="D15" s="22"/>
      <c r="E15" s="22"/>
      <c r="F15" s="20"/>
      <c r="G15" s="22"/>
      <c r="H15" s="16">
        <f t="shared" si="0"/>
        <v>-203227.45</v>
      </c>
      <c r="I15" s="16"/>
      <c r="J15" s="17"/>
      <c r="K15" s="17"/>
      <c r="L15" s="23"/>
    </row>
    <row r="16" spans="1:18" ht="12" thickBot="1" x14ac:dyDescent="0.25">
      <c r="A16" s="15" t="s">
        <v>25</v>
      </c>
      <c r="B16" s="24">
        <f t="shared" ref="B16:I16" si="1">SUM(B8:B15)</f>
        <v>5324765.0100000016</v>
      </c>
      <c r="C16" s="24"/>
      <c r="D16" s="24">
        <f t="shared" si="1"/>
        <v>5000</v>
      </c>
      <c r="E16" s="24">
        <f t="shared" si="1"/>
        <v>31259265.489999995</v>
      </c>
      <c r="F16" s="24">
        <f t="shared" si="1"/>
        <v>4149553.7499999995</v>
      </c>
      <c r="G16" s="24">
        <f t="shared" si="1"/>
        <v>23268056.479999997</v>
      </c>
      <c r="H16" s="24">
        <f t="shared" si="1"/>
        <v>64006640.729999989</v>
      </c>
      <c r="I16" s="25">
        <f t="shared" si="1"/>
        <v>555252.16</v>
      </c>
      <c r="J16" s="17"/>
      <c r="K16" s="17"/>
    </row>
    <row r="17" spans="1:11" ht="12" thickTop="1" x14ac:dyDescent="0.2">
      <c r="B17" s="26"/>
      <c r="C17" s="26"/>
      <c r="D17" s="26"/>
      <c r="E17" s="26"/>
      <c r="F17" s="23"/>
      <c r="G17" s="26"/>
      <c r="H17" s="18"/>
      <c r="I17" s="27"/>
      <c r="J17" s="16"/>
      <c r="K17" s="17"/>
    </row>
    <row r="18" spans="1:11" x14ac:dyDescent="0.2">
      <c r="A18" s="3" t="s">
        <v>26</v>
      </c>
      <c r="B18" s="26"/>
      <c r="C18" s="26"/>
      <c r="D18" s="26"/>
      <c r="E18" s="26"/>
      <c r="F18" s="23"/>
      <c r="G18" s="18"/>
      <c r="H18" s="18"/>
      <c r="I18" s="27"/>
      <c r="J18" s="16"/>
      <c r="K18" s="28"/>
    </row>
    <row r="19" spans="1:11" x14ac:dyDescent="0.2">
      <c r="A19" s="3" t="s">
        <v>27</v>
      </c>
      <c r="B19" s="29"/>
      <c r="C19" s="29"/>
      <c r="D19" s="26"/>
      <c r="E19" s="26"/>
      <c r="F19" s="23"/>
      <c r="G19" s="18"/>
      <c r="H19" s="18"/>
      <c r="I19" s="27"/>
      <c r="J19" s="27"/>
      <c r="K19" s="28"/>
    </row>
    <row r="20" spans="1:11" x14ac:dyDescent="0.2">
      <c r="A20" s="3" t="s">
        <v>28</v>
      </c>
      <c r="B20" s="30">
        <v>368171.3</v>
      </c>
      <c r="C20" s="30"/>
      <c r="D20" s="28"/>
      <c r="E20" s="28"/>
      <c r="G20" s="27"/>
      <c r="H20" s="27"/>
      <c r="I20" s="27"/>
      <c r="J20" s="27"/>
      <c r="K20" s="28"/>
    </row>
    <row r="21" spans="1:11" ht="11.25" customHeight="1" x14ac:dyDescent="0.2">
      <c r="A21" s="3" t="s">
        <v>29</v>
      </c>
      <c r="B21" s="30">
        <v>223080.03</v>
      </c>
      <c r="C21" s="30"/>
      <c r="D21" s="28"/>
      <c r="E21" s="28"/>
      <c r="G21" s="27"/>
      <c r="H21" s="27"/>
      <c r="I21" s="27"/>
      <c r="J21" s="27"/>
      <c r="K21" s="28"/>
    </row>
    <row r="22" spans="1:11" hidden="1" x14ac:dyDescent="0.2">
      <c r="A22" s="3" t="s">
        <v>30</v>
      </c>
      <c r="B22" s="27"/>
      <c r="C22" s="27"/>
      <c r="D22" s="28"/>
      <c r="E22" s="28"/>
      <c r="G22" s="27"/>
      <c r="H22" s="27"/>
      <c r="I22" s="27"/>
      <c r="J22" s="27"/>
      <c r="K22" s="28"/>
    </row>
    <row r="23" spans="1:11" hidden="1" x14ac:dyDescent="0.2">
      <c r="A23" s="3" t="s">
        <v>31</v>
      </c>
      <c r="B23" s="27"/>
      <c r="C23" s="27"/>
      <c r="D23" s="28"/>
      <c r="E23" s="28"/>
      <c r="G23" s="27"/>
      <c r="H23" s="27"/>
      <c r="I23" s="27"/>
      <c r="J23" s="27"/>
      <c r="K23" s="28"/>
    </row>
    <row r="24" spans="1:11" hidden="1" x14ac:dyDescent="0.2">
      <c r="A24" s="3" t="s">
        <v>32</v>
      </c>
      <c r="B24" s="27"/>
      <c r="C24" s="27"/>
      <c r="D24" s="28"/>
      <c r="E24" s="28"/>
      <c r="G24" s="27"/>
      <c r="H24" s="27"/>
      <c r="I24" s="27"/>
      <c r="J24" s="27"/>
      <c r="K24" s="28"/>
    </row>
    <row r="25" spans="1:11" hidden="1" x14ac:dyDescent="0.2">
      <c r="A25" s="3" t="s">
        <v>33</v>
      </c>
      <c r="B25" s="27"/>
      <c r="C25" s="27"/>
      <c r="D25" s="28"/>
      <c r="E25" s="28"/>
      <c r="G25" s="27"/>
      <c r="H25" s="27"/>
      <c r="I25" s="27"/>
      <c r="J25" s="27"/>
      <c r="K25" s="28"/>
    </row>
    <row r="26" spans="1:11" hidden="1" x14ac:dyDescent="0.2">
      <c r="A26" s="3" t="s">
        <v>34</v>
      </c>
      <c r="B26" s="27"/>
      <c r="C26" s="27"/>
      <c r="D26" s="28"/>
      <c r="E26" s="28"/>
      <c r="G26" s="27"/>
      <c r="H26" s="27"/>
      <c r="I26" s="27"/>
      <c r="J26" s="27"/>
      <c r="K26" s="28"/>
    </row>
    <row r="27" spans="1:11" hidden="1" x14ac:dyDescent="0.2">
      <c r="A27" s="3" t="s">
        <v>35</v>
      </c>
      <c r="B27" s="27"/>
      <c r="C27" s="27"/>
      <c r="D27" s="28"/>
      <c r="E27" s="28"/>
      <c r="G27" s="27"/>
      <c r="H27" s="27"/>
      <c r="I27" s="27"/>
      <c r="J27" s="27"/>
      <c r="K27" s="28"/>
    </row>
    <row r="28" spans="1:11" hidden="1" x14ac:dyDescent="0.2">
      <c r="A28" s="3" t="s">
        <v>36</v>
      </c>
      <c r="B28" s="27"/>
      <c r="C28" s="27"/>
      <c r="D28" s="28"/>
      <c r="E28" s="28"/>
      <c r="G28" s="27"/>
      <c r="H28" s="27"/>
      <c r="I28" s="27"/>
      <c r="J28" s="27"/>
      <c r="K28" s="28"/>
    </row>
    <row r="29" spans="1:11" hidden="1" x14ac:dyDescent="0.2">
      <c r="A29" s="3" t="s">
        <v>37</v>
      </c>
      <c r="B29" s="18"/>
      <c r="C29" s="18"/>
      <c r="D29" s="28"/>
      <c r="E29" s="28"/>
      <c r="G29" s="27"/>
      <c r="H29" s="27"/>
      <c r="I29" s="27"/>
      <c r="J29" s="27"/>
      <c r="K29" s="28"/>
    </row>
    <row r="30" spans="1:11" hidden="1" x14ac:dyDescent="0.2">
      <c r="A30" s="3" t="s">
        <v>35</v>
      </c>
      <c r="B30" s="18"/>
      <c r="C30" s="18"/>
      <c r="D30" s="28"/>
      <c r="E30" s="28"/>
      <c r="G30" s="27"/>
      <c r="H30" s="27"/>
      <c r="I30" s="27"/>
      <c r="J30" s="27"/>
      <c r="K30" s="28"/>
    </row>
    <row r="31" spans="1:11" hidden="1" x14ac:dyDescent="0.2">
      <c r="A31" s="3" t="s">
        <v>38</v>
      </c>
      <c r="B31" s="18"/>
      <c r="C31" s="18"/>
      <c r="D31" s="28"/>
      <c r="E31" s="28"/>
      <c r="G31" s="27"/>
      <c r="H31" s="27"/>
      <c r="I31" s="27"/>
      <c r="J31" s="27"/>
      <c r="K31" s="28"/>
    </row>
    <row r="32" spans="1:11" hidden="1" x14ac:dyDescent="0.2">
      <c r="A32" s="3" t="s">
        <v>39</v>
      </c>
      <c r="B32" s="18"/>
      <c r="C32" s="18"/>
      <c r="D32" s="28"/>
      <c r="E32" s="28"/>
      <c r="G32" s="27"/>
      <c r="H32" s="27"/>
      <c r="I32" s="27"/>
      <c r="J32" s="27"/>
      <c r="K32" s="28"/>
    </row>
    <row r="33" spans="1:11" x14ac:dyDescent="0.2">
      <c r="A33" s="3" t="s">
        <v>40</v>
      </c>
      <c r="B33" s="31">
        <v>9069.5</v>
      </c>
      <c r="C33" s="20"/>
      <c r="D33" s="28"/>
      <c r="E33" s="28"/>
      <c r="G33" s="27"/>
      <c r="H33" s="27"/>
      <c r="I33" s="27"/>
      <c r="J33" s="27"/>
      <c r="K33" s="28"/>
    </row>
    <row r="34" spans="1:11" ht="12" thickBot="1" x14ac:dyDescent="0.25">
      <c r="A34" s="32"/>
      <c r="B34" s="33">
        <f>SUM(B20:B33)</f>
        <v>600320.82999999996</v>
      </c>
      <c r="C34" s="34"/>
      <c r="D34" s="28"/>
      <c r="E34" s="28"/>
      <c r="G34" s="27"/>
      <c r="H34" s="27"/>
      <c r="I34" s="27"/>
      <c r="J34" s="27"/>
      <c r="K34" s="28"/>
    </row>
    <row r="35" spans="1:11" ht="12" thickTop="1" x14ac:dyDescent="0.2">
      <c r="A35" s="32"/>
      <c r="B35" s="34"/>
      <c r="C35" s="34"/>
      <c r="D35" s="28"/>
      <c r="E35" s="28"/>
      <c r="G35" s="27"/>
      <c r="H35" s="27"/>
      <c r="I35" s="27"/>
      <c r="J35" s="27"/>
      <c r="K35" s="28"/>
    </row>
    <row r="36" spans="1:11" x14ac:dyDescent="0.2">
      <c r="A36" s="3" t="s">
        <v>41</v>
      </c>
      <c r="B36" s="34"/>
      <c r="C36" s="34"/>
      <c r="D36" s="28"/>
      <c r="E36" s="28"/>
      <c r="G36" s="27"/>
      <c r="H36" s="27"/>
      <c r="I36" s="27"/>
      <c r="J36" s="27"/>
      <c r="K36" s="28"/>
    </row>
    <row r="37" spans="1:11" x14ac:dyDescent="0.2">
      <c r="B37" s="34"/>
      <c r="C37" s="34"/>
      <c r="D37" s="28"/>
      <c r="E37" s="28"/>
      <c r="G37" s="27"/>
      <c r="H37" s="27"/>
      <c r="I37" s="27"/>
      <c r="J37" s="27"/>
      <c r="K37" s="28"/>
    </row>
    <row r="38" spans="1:11" x14ac:dyDescent="0.2">
      <c r="B38" s="34"/>
      <c r="C38" s="34"/>
      <c r="D38" s="28"/>
      <c r="E38" s="28"/>
      <c r="G38" s="27"/>
      <c r="H38" s="27"/>
      <c r="I38" s="27"/>
      <c r="J38" s="27"/>
      <c r="K38" s="28"/>
    </row>
    <row r="39" spans="1:11" x14ac:dyDescent="0.2">
      <c r="B39" s="34"/>
      <c r="C39" s="34"/>
      <c r="D39" s="28"/>
      <c r="E39" s="28"/>
      <c r="G39" s="27"/>
      <c r="H39" s="27"/>
      <c r="I39" s="27"/>
      <c r="J39" s="27"/>
      <c r="K39" s="28"/>
    </row>
    <row r="40" spans="1:11" x14ac:dyDescent="0.2">
      <c r="B40" s="34"/>
      <c r="C40" s="34"/>
      <c r="D40" s="28"/>
      <c r="E40" s="28"/>
      <c r="G40" s="27"/>
      <c r="H40" s="27"/>
      <c r="I40" s="27"/>
      <c r="J40" s="27"/>
      <c r="K40" s="28"/>
    </row>
    <row r="41" spans="1:11" x14ac:dyDescent="0.2">
      <c r="B41" s="34"/>
      <c r="C41" s="34"/>
      <c r="D41" s="28"/>
      <c r="E41" s="28"/>
      <c r="G41" s="27"/>
      <c r="H41" s="27"/>
      <c r="I41" s="27"/>
      <c r="J41" s="27"/>
      <c r="K41" s="28"/>
    </row>
    <row r="42" spans="1:11" x14ac:dyDescent="0.2">
      <c r="B42" s="34"/>
      <c r="C42" s="34"/>
      <c r="D42" s="28"/>
      <c r="E42" s="28"/>
      <c r="G42" s="27"/>
      <c r="H42" s="27"/>
      <c r="I42" s="27"/>
      <c r="J42" s="27"/>
      <c r="K42" s="28"/>
    </row>
    <row r="43" spans="1:11" x14ac:dyDescent="0.2">
      <c r="B43" s="34"/>
      <c r="C43" s="34"/>
      <c r="D43" s="28"/>
      <c r="E43" s="28"/>
      <c r="G43" s="27"/>
      <c r="H43" s="27"/>
      <c r="I43" s="27"/>
      <c r="J43" s="27"/>
      <c r="K43" s="28"/>
    </row>
    <row r="44" spans="1:11" x14ac:dyDescent="0.2">
      <c r="B44" s="34"/>
      <c r="C44" s="34"/>
      <c r="D44" s="28"/>
      <c r="E44" s="28"/>
      <c r="G44" s="27"/>
      <c r="H44" s="27"/>
      <c r="I44" s="27"/>
      <c r="J44" s="27"/>
      <c r="K44" s="28"/>
    </row>
    <row r="45" spans="1:11" x14ac:dyDescent="0.2">
      <c r="B45" s="34"/>
      <c r="C45" s="34"/>
      <c r="D45" s="28"/>
      <c r="E45" s="28"/>
      <c r="G45" s="27"/>
      <c r="H45" s="27"/>
      <c r="I45" s="27"/>
      <c r="J45" s="27"/>
      <c r="K45" s="28"/>
    </row>
    <row r="46" spans="1:11" x14ac:dyDescent="0.2">
      <c r="B46" s="34"/>
      <c r="C46" s="34"/>
      <c r="D46" s="28"/>
      <c r="E46" s="28"/>
      <c r="G46" s="27"/>
      <c r="H46" s="27"/>
      <c r="I46" s="27"/>
      <c r="J46" s="27"/>
      <c r="K46" s="28"/>
    </row>
    <row r="47" spans="1:11" x14ac:dyDescent="0.2">
      <c r="B47" s="34"/>
      <c r="C47" s="34"/>
      <c r="D47" s="28"/>
      <c r="E47" s="28"/>
      <c r="G47" s="27"/>
      <c r="H47" s="27"/>
      <c r="I47" s="27"/>
      <c r="J47" s="27"/>
      <c r="K47" s="28"/>
    </row>
    <row r="48" spans="1:11" x14ac:dyDescent="0.2">
      <c r="B48" s="34"/>
      <c r="C48" s="34"/>
      <c r="D48" s="28"/>
      <c r="E48" s="28"/>
      <c r="G48" s="27"/>
      <c r="H48" s="27"/>
      <c r="I48" s="27"/>
      <c r="J48" s="27"/>
      <c r="K48" s="28"/>
    </row>
    <row r="49" spans="2:11" x14ac:dyDescent="0.2">
      <c r="B49" s="34"/>
      <c r="C49" s="34"/>
      <c r="D49" s="28"/>
      <c r="E49" s="28"/>
      <c r="G49" s="27"/>
      <c r="H49" s="27"/>
      <c r="I49" s="27"/>
      <c r="J49" s="27"/>
      <c r="K49" s="28"/>
    </row>
    <row r="50" spans="2:11" x14ac:dyDescent="0.2">
      <c r="B50" s="34"/>
      <c r="C50" s="34"/>
      <c r="D50" s="28"/>
      <c r="E50" s="28"/>
      <c r="G50" s="27"/>
      <c r="H50" s="27"/>
      <c r="I50" s="27"/>
      <c r="J50" s="27"/>
      <c r="K50" s="28"/>
    </row>
    <row r="51" spans="2:11" x14ac:dyDescent="0.2">
      <c r="B51" s="34"/>
      <c r="C51" s="34"/>
      <c r="D51" s="28"/>
      <c r="E51" s="28"/>
      <c r="G51" s="27"/>
      <c r="H51" s="27"/>
      <c r="I51" s="27"/>
      <c r="J51" s="27"/>
      <c r="K51" s="28"/>
    </row>
    <row r="52" spans="2:11" x14ac:dyDescent="0.2">
      <c r="B52" s="34"/>
      <c r="C52" s="34"/>
      <c r="D52" s="28"/>
      <c r="E52" s="28"/>
      <c r="G52" s="27"/>
      <c r="H52" s="27"/>
      <c r="I52" s="27"/>
      <c r="J52" s="27"/>
      <c r="K52" s="28"/>
    </row>
    <row r="53" spans="2:11" x14ac:dyDescent="0.2">
      <c r="B53" s="34"/>
      <c r="C53" s="34"/>
      <c r="D53" s="28"/>
      <c r="E53" s="28"/>
      <c r="G53" s="27"/>
      <c r="H53" s="27"/>
      <c r="I53" s="27"/>
      <c r="J53" s="27"/>
      <c r="K53" s="28"/>
    </row>
    <row r="54" spans="2:11" x14ac:dyDescent="0.2">
      <c r="B54" s="34"/>
      <c r="C54" s="34"/>
      <c r="D54" s="28"/>
      <c r="E54" s="28"/>
      <c r="G54" s="27"/>
      <c r="H54" s="27"/>
      <c r="I54" s="27"/>
      <c r="J54" s="27"/>
      <c r="K54" s="28"/>
    </row>
    <row r="55" spans="2:11" x14ac:dyDescent="0.2">
      <c r="B55" s="34"/>
      <c r="C55" s="34"/>
      <c r="D55" s="28"/>
      <c r="E55" s="28"/>
      <c r="G55" s="27"/>
      <c r="H55" s="27"/>
      <c r="I55" s="27"/>
      <c r="J55" s="27"/>
      <c r="K55" s="28"/>
    </row>
    <row r="56" spans="2:11" x14ac:dyDescent="0.2">
      <c r="B56" s="34"/>
      <c r="C56" s="34"/>
      <c r="D56" s="28"/>
      <c r="E56" s="28"/>
      <c r="G56" s="27"/>
      <c r="H56" s="27"/>
      <c r="I56" s="27"/>
      <c r="J56" s="27"/>
      <c r="K56" s="28"/>
    </row>
    <row r="57" spans="2:11" x14ac:dyDescent="0.2">
      <c r="B57" s="34"/>
      <c r="C57" s="34"/>
      <c r="D57" s="28"/>
      <c r="E57" s="28"/>
      <c r="G57" s="27"/>
      <c r="H57" s="27"/>
      <c r="I57" s="27"/>
      <c r="J57" s="27"/>
      <c r="K57" s="28"/>
    </row>
    <row r="58" spans="2:11" x14ac:dyDescent="0.2">
      <c r="B58" s="34"/>
      <c r="C58" s="34"/>
      <c r="D58" s="28"/>
      <c r="E58" s="28"/>
      <c r="G58" s="27"/>
      <c r="H58" s="27"/>
      <c r="I58" s="27"/>
      <c r="J58" s="27"/>
      <c r="K58" s="28"/>
    </row>
    <row r="59" spans="2:11" x14ac:dyDescent="0.2">
      <c r="B59" s="34"/>
      <c r="C59" s="34"/>
      <c r="D59" s="28"/>
      <c r="E59" s="28"/>
      <c r="G59" s="27"/>
      <c r="H59" s="27"/>
      <c r="I59" s="27"/>
      <c r="J59" s="27"/>
      <c r="K59" s="28"/>
    </row>
    <row r="60" spans="2:11" x14ac:dyDescent="0.2">
      <c r="B60" s="34"/>
      <c r="C60" s="34"/>
      <c r="D60" s="28"/>
      <c r="E60" s="28"/>
      <c r="G60" s="27"/>
      <c r="H60" s="27"/>
      <c r="I60" s="27"/>
      <c r="J60" s="27"/>
      <c r="K60" s="28"/>
    </row>
    <row r="61" spans="2:11" x14ac:dyDescent="0.2">
      <c r="B61" s="34"/>
      <c r="C61" s="34"/>
      <c r="D61" s="28"/>
      <c r="E61" s="28"/>
      <c r="G61" s="27"/>
      <c r="H61" s="27"/>
      <c r="I61" s="27"/>
      <c r="J61" s="27"/>
      <c r="K61" s="28"/>
    </row>
    <row r="62" spans="2:11" x14ac:dyDescent="0.2">
      <c r="B62" s="34"/>
      <c r="C62" s="34"/>
      <c r="D62" s="28"/>
      <c r="E62" s="28"/>
      <c r="G62" s="27"/>
      <c r="H62" s="27"/>
      <c r="I62" s="27"/>
      <c r="J62" s="27"/>
      <c r="K62" s="28"/>
    </row>
    <row r="63" spans="2:11" x14ac:dyDescent="0.2">
      <c r="B63" s="34"/>
      <c r="C63" s="34"/>
      <c r="D63" s="28"/>
      <c r="E63" s="28"/>
      <c r="G63" s="27"/>
      <c r="H63" s="27"/>
      <c r="I63" s="27"/>
      <c r="J63" s="27"/>
      <c r="K63" s="28"/>
    </row>
    <row r="64" spans="2:11" x14ac:dyDescent="0.2">
      <c r="B64" s="34"/>
      <c r="C64" s="34"/>
      <c r="D64" s="28"/>
      <c r="E64" s="28"/>
      <c r="G64" s="27"/>
      <c r="H64" s="27"/>
      <c r="I64" s="27"/>
      <c r="J64" s="27"/>
      <c r="K64" s="28"/>
    </row>
    <row r="65" spans="2:11" x14ac:dyDescent="0.2">
      <c r="B65" s="34"/>
      <c r="C65" s="34"/>
      <c r="D65" s="28"/>
      <c r="E65" s="28"/>
      <c r="G65" s="27"/>
      <c r="H65" s="27"/>
      <c r="I65" s="27"/>
      <c r="J65" s="27"/>
      <c r="K65" s="28"/>
    </row>
    <row r="66" spans="2:11" x14ac:dyDescent="0.2">
      <c r="B66" s="34"/>
      <c r="C66" s="34"/>
      <c r="D66" s="28"/>
      <c r="E66" s="28"/>
      <c r="G66" s="27"/>
      <c r="H66" s="27"/>
      <c r="I66" s="27"/>
      <c r="J66" s="27"/>
      <c r="K66" s="28"/>
    </row>
    <row r="67" spans="2:11" x14ac:dyDescent="0.2">
      <c r="B67" s="34"/>
      <c r="C67" s="34"/>
      <c r="D67" s="28"/>
      <c r="E67" s="28"/>
      <c r="G67" s="27"/>
      <c r="H67" s="27"/>
      <c r="I67" s="27"/>
      <c r="J67" s="27"/>
      <c r="K67" s="28"/>
    </row>
    <row r="68" spans="2:11" x14ac:dyDescent="0.2">
      <c r="B68" s="34"/>
      <c r="C68" s="34"/>
      <c r="D68" s="28"/>
      <c r="E68" s="28"/>
      <c r="G68" s="27"/>
      <c r="H68" s="27"/>
      <c r="I68" s="27"/>
      <c r="J68" s="27"/>
      <c r="K68" s="28"/>
    </row>
    <row r="69" spans="2:11" x14ac:dyDescent="0.2">
      <c r="B69" s="34"/>
      <c r="C69" s="34"/>
      <c r="D69" s="28"/>
      <c r="E69" s="28"/>
      <c r="G69" s="27"/>
      <c r="H69" s="27"/>
      <c r="I69" s="27"/>
      <c r="J69" s="27"/>
      <c r="K69" s="28"/>
    </row>
    <row r="70" spans="2:11" x14ac:dyDescent="0.2">
      <c r="B70" s="34"/>
      <c r="C70" s="34"/>
      <c r="D70" s="28"/>
      <c r="E70" s="28"/>
      <c r="G70" s="27"/>
      <c r="H70" s="27"/>
      <c r="I70" s="27"/>
      <c r="J70" s="27"/>
      <c r="K70" s="28"/>
    </row>
    <row r="71" spans="2:11" x14ac:dyDescent="0.2">
      <c r="B71" s="34"/>
      <c r="C71" s="34"/>
      <c r="D71" s="28"/>
      <c r="E71" s="28"/>
      <c r="G71" s="27"/>
      <c r="H71" s="27"/>
      <c r="I71" s="27"/>
      <c r="J71" s="27"/>
      <c r="K71" s="28"/>
    </row>
    <row r="72" spans="2:11" x14ac:dyDescent="0.2">
      <c r="B72" s="34"/>
      <c r="C72" s="34"/>
      <c r="D72" s="28"/>
      <c r="E72" s="28"/>
      <c r="G72" s="27"/>
      <c r="H72" s="27"/>
      <c r="I72" s="27"/>
      <c r="J72" s="27"/>
      <c r="K72" s="28"/>
    </row>
    <row r="73" spans="2:11" x14ac:dyDescent="0.2">
      <c r="B73" s="34"/>
      <c r="C73" s="34"/>
      <c r="D73" s="28"/>
      <c r="E73" s="28"/>
      <c r="G73" s="27"/>
      <c r="H73" s="27"/>
      <c r="I73" s="27"/>
      <c r="J73" s="27"/>
      <c r="K73" s="28"/>
    </row>
    <row r="74" spans="2:11" x14ac:dyDescent="0.2">
      <c r="B74" s="34"/>
      <c r="C74" s="34"/>
      <c r="D74" s="28"/>
      <c r="E74" s="28"/>
      <c r="G74" s="27"/>
      <c r="H74" s="27"/>
      <c r="I74" s="27"/>
      <c r="J74" s="27"/>
      <c r="K74" s="28"/>
    </row>
    <row r="75" spans="2:11" x14ac:dyDescent="0.2">
      <c r="B75" s="34"/>
      <c r="C75" s="34"/>
      <c r="D75" s="28"/>
      <c r="E75" s="28"/>
      <c r="G75" s="27"/>
      <c r="H75" s="27"/>
      <c r="I75" s="27"/>
      <c r="J75" s="27"/>
      <c r="K75" s="28"/>
    </row>
    <row r="76" spans="2:11" x14ac:dyDescent="0.2">
      <c r="B76" s="34"/>
      <c r="C76" s="34"/>
      <c r="D76" s="28"/>
      <c r="E76" s="28"/>
      <c r="G76" s="27"/>
      <c r="H76" s="27"/>
      <c r="I76" s="27"/>
      <c r="J76" s="27"/>
      <c r="K76" s="28"/>
    </row>
    <row r="77" spans="2:11" x14ac:dyDescent="0.2">
      <c r="B77" s="34"/>
      <c r="C77" s="34"/>
      <c r="D77" s="28"/>
      <c r="E77" s="28"/>
      <c r="G77" s="27"/>
      <c r="H77" s="27"/>
      <c r="I77" s="27"/>
      <c r="J77" s="27"/>
      <c r="K77" s="28"/>
    </row>
    <row r="78" spans="2:11" x14ac:dyDescent="0.2">
      <c r="B78" s="34"/>
      <c r="C78" s="34"/>
      <c r="D78" s="28"/>
      <c r="E78" s="28"/>
      <c r="G78" s="27"/>
      <c r="H78" s="27"/>
      <c r="I78" s="27"/>
      <c r="J78" s="27"/>
      <c r="K78" s="28"/>
    </row>
    <row r="79" spans="2:11" x14ac:dyDescent="0.2">
      <c r="B79" s="34"/>
      <c r="C79" s="34"/>
      <c r="D79" s="28"/>
      <c r="E79" s="28"/>
      <c r="G79" s="27"/>
      <c r="H79" s="27"/>
      <c r="I79" s="27"/>
      <c r="J79" s="27"/>
      <c r="K79" s="28"/>
    </row>
    <row r="80" spans="2:11" x14ac:dyDescent="0.2">
      <c r="B80" s="34"/>
      <c r="C80" s="34"/>
      <c r="D80" s="28"/>
      <c r="E80" s="28"/>
      <c r="G80" s="27"/>
      <c r="H80" s="27"/>
      <c r="I80" s="27"/>
      <c r="J80" s="27"/>
      <c r="K80" s="28"/>
    </row>
    <row r="81" spans="1:11" x14ac:dyDescent="0.2">
      <c r="B81" s="34"/>
      <c r="C81" s="34"/>
      <c r="D81" s="28"/>
      <c r="E81" s="28"/>
      <c r="G81" s="27"/>
      <c r="H81" s="27"/>
      <c r="I81" s="27"/>
      <c r="J81" s="27"/>
      <c r="K81" s="28"/>
    </row>
    <row r="82" spans="1:11" x14ac:dyDescent="0.2">
      <c r="B82" s="34"/>
      <c r="C82" s="34"/>
      <c r="D82" s="28"/>
      <c r="E82" s="28"/>
      <c r="G82" s="27"/>
      <c r="H82" s="27"/>
      <c r="I82" s="27"/>
      <c r="J82" s="27"/>
      <c r="K82" s="28"/>
    </row>
    <row r="83" spans="1:11" x14ac:dyDescent="0.2">
      <c r="B83" s="34"/>
      <c r="C83" s="34"/>
      <c r="D83" s="28"/>
      <c r="E83" s="28"/>
      <c r="G83" s="27"/>
      <c r="H83" s="27"/>
      <c r="I83" s="27"/>
      <c r="J83" s="27"/>
      <c r="K83" s="28"/>
    </row>
    <row r="84" spans="1:11" x14ac:dyDescent="0.2">
      <c r="B84" s="34"/>
      <c r="C84" s="34"/>
      <c r="D84" s="28"/>
      <c r="E84" s="28"/>
      <c r="G84" s="27"/>
      <c r="H84" s="27"/>
      <c r="I84" s="27"/>
      <c r="J84" s="27"/>
      <c r="K84" s="28"/>
    </row>
    <row r="85" spans="1:11" x14ac:dyDescent="0.2">
      <c r="B85" s="34"/>
      <c r="C85" s="34"/>
      <c r="D85" s="28"/>
      <c r="E85" s="28"/>
      <c r="G85" s="27"/>
      <c r="H85" s="27"/>
      <c r="I85" s="27"/>
      <c r="J85" s="27"/>
      <c r="K85" s="28"/>
    </row>
    <row r="86" spans="1:11" x14ac:dyDescent="0.2">
      <c r="B86" s="34"/>
      <c r="C86" s="34"/>
      <c r="D86" s="28"/>
      <c r="E86" s="28"/>
      <c r="G86" s="27"/>
      <c r="H86" s="27"/>
      <c r="I86" s="27"/>
      <c r="J86" s="27"/>
      <c r="K86" s="28"/>
    </row>
    <row r="87" spans="1:11" x14ac:dyDescent="0.2">
      <c r="B87" s="34"/>
      <c r="C87" s="34"/>
      <c r="D87" s="28"/>
      <c r="E87" s="28"/>
      <c r="G87" s="27"/>
      <c r="H87" s="27"/>
      <c r="I87" s="27"/>
      <c r="J87" s="27"/>
      <c r="K87" s="28"/>
    </row>
    <row r="88" spans="1:11" x14ac:dyDescent="0.2">
      <c r="B88" s="34"/>
      <c r="C88" s="34"/>
      <c r="D88" s="28"/>
      <c r="E88" s="28"/>
      <c r="G88" s="27"/>
      <c r="H88" s="27"/>
      <c r="I88" s="27"/>
      <c r="J88" s="27"/>
      <c r="K88" s="28"/>
    </row>
    <row r="89" spans="1:11" x14ac:dyDescent="0.2">
      <c r="B89" s="34"/>
      <c r="C89" s="34"/>
      <c r="D89" s="28"/>
      <c r="E89" s="28"/>
      <c r="G89" s="27"/>
      <c r="H89" s="27"/>
      <c r="I89" s="27"/>
      <c r="J89" s="27"/>
      <c r="K89" s="28"/>
    </row>
    <row r="90" spans="1:11" x14ac:dyDescent="0.2">
      <c r="B90" s="34"/>
      <c r="C90" s="34"/>
      <c r="D90" s="28"/>
      <c r="E90" s="28"/>
      <c r="G90" s="27"/>
      <c r="H90" s="27"/>
      <c r="I90" s="27"/>
      <c r="J90" s="27"/>
      <c r="K90" s="28"/>
    </row>
    <row r="91" spans="1:11" x14ac:dyDescent="0.2">
      <c r="B91" s="34"/>
      <c r="C91" s="34"/>
      <c r="D91" s="28"/>
      <c r="E91" s="28"/>
      <c r="G91" s="27"/>
      <c r="H91" s="27"/>
      <c r="I91" s="27"/>
      <c r="J91" s="27"/>
      <c r="K91" s="28"/>
    </row>
    <row r="92" spans="1:11" ht="12" x14ac:dyDescent="0.2">
      <c r="A92" s="35" t="s">
        <v>0</v>
      </c>
      <c r="B92" s="35"/>
      <c r="C92" s="35"/>
      <c r="D92" s="35"/>
      <c r="E92" s="35"/>
      <c r="F92" s="35"/>
      <c r="G92" s="35"/>
      <c r="H92" s="35"/>
      <c r="I92" s="35"/>
      <c r="J92" s="2"/>
      <c r="K92" s="2"/>
    </row>
    <row r="93" spans="1:11" ht="12" x14ac:dyDescent="0.2">
      <c r="A93" s="35" t="s">
        <v>1</v>
      </c>
      <c r="B93" s="35"/>
      <c r="C93" s="35"/>
      <c r="D93" s="35"/>
      <c r="E93" s="35"/>
      <c r="F93" s="35"/>
      <c r="G93" s="35"/>
      <c r="H93" s="35"/>
      <c r="I93" s="35"/>
      <c r="J93" s="2"/>
      <c r="K93" s="2"/>
    </row>
    <row r="94" spans="1:11" ht="12" customHeight="1" x14ac:dyDescent="0.2">
      <c r="A94" s="36" t="s">
        <v>42</v>
      </c>
      <c r="B94" s="36"/>
      <c r="C94" s="36"/>
      <c r="D94" s="36"/>
      <c r="E94" s="36"/>
      <c r="F94" s="36"/>
      <c r="G94" s="36"/>
      <c r="H94" s="36"/>
      <c r="I94" s="36"/>
      <c r="J94" s="6"/>
      <c r="K94" s="6"/>
    </row>
    <row r="95" spans="1:11" ht="12" x14ac:dyDescent="0.2">
      <c r="A95" s="37"/>
      <c r="B95" s="38"/>
      <c r="C95" s="38"/>
      <c r="D95" s="39"/>
      <c r="E95" s="40"/>
      <c r="F95" s="39"/>
      <c r="G95" s="38"/>
      <c r="H95" s="41"/>
      <c r="I95" s="42"/>
      <c r="J95" s="43"/>
      <c r="K95" s="44"/>
    </row>
    <row r="96" spans="1:11" ht="12" x14ac:dyDescent="0.2">
      <c r="A96" s="40"/>
      <c r="B96" s="38"/>
      <c r="C96" s="38"/>
      <c r="D96" s="39"/>
      <c r="E96" s="40"/>
      <c r="F96" s="39"/>
      <c r="G96" s="38"/>
      <c r="H96" s="41"/>
      <c r="I96" s="42"/>
      <c r="J96" s="43"/>
      <c r="K96" s="44"/>
    </row>
    <row r="97" spans="1:17" ht="12" x14ac:dyDescent="0.2">
      <c r="A97" s="40"/>
      <c r="B97" s="40"/>
      <c r="C97" s="39"/>
      <c r="D97" s="40"/>
      <c r="E97" s="39"/>
      <c r="F97" s="41" t="s">
        <v>43</v>
      </c>
      <c r="G97" s="41" t="s">
        <v>43</v>
      </c>
      <c r="H97" s="45"/>
      <c r="I97" s="42"/>
      <c r="J97" s="44"/>
      <c r="P97" s="4"/>
      <c r="Q97" s="3"/>
    </row>
    <row r="98" spans="1:17" ht="12" x14ac:dyDescent="0.2">
      <c r="A98" s="41"/>
      <c r="B98" s="41" t="s">
        <v>44</v>
      </c>
      <c r="C98" s="41"/>
      <c r="D98" s="41"/>
      <c r="E98" s="41"/>
      <c r="F98" s="41" t="s">
        <v>45</v>
      </c>
      <c r="G98" s="41" t="s">
        <v>45</v>
      </c>
      <c r="H98" s="45"/>
      <c r="I98" s="46"/>
      <c r="J98" s="47"/>
      <c r="P98" s="4"/>
      <c r="Q98" s="3"/>
    </row>
    <row r="99" spans="1:17" ht="12" x14ac:dyDescent="0.2">
      <c r="A99" s="48" t="s">
        <v>46</v>
      </c>
      <c r="B99" s="45" t="s">
        <v>47</v>
      </c>
      <c r="C99" s="45" t="s">
        <v>48</v>
      </c>
      <c r="D99" s="49" t="s">
        <v>49</v>
      </c>
      <c r="E99" s="45" t="s">
        <v>50</v>
      </c>
      <c r="F99" s="45" t="s">
        <v>51</v>
      </c>
      <c r="G99" s="45" t="s">
        <v>52</v>
      </c>
      <c r="H99" s="45"/>
      <c r="I99" s="50"/>
      <c r="J99" s="30"/>
      <c r="P99" s="4"/>
      <c r="Q99" s="3"/>
    </row>
    <row r="100" spans="1:17" ht="12" x14ac:dyDescent="0.2">
      <c r="A100" s="51" t="s">
        <v>53</v>
      </c>
      <c r="B100" s="52"/>
      <c r="C100" s="52"/>
      <c r="D100" s="53"/>
      <c r="E100" s="54"/>
      <c r="F100" s="53"/>
      <c r="G100" s="53"/>
      <c r="H100" s="45"/>
      <c r="I100" s="55"/>
      <c r="J100" s="47"/>
      <c r="P100" s="4"/>
      <c r="Q100" s="3"/>
    </row>
    <row r="101" spans="1:17" ht="12" x14ac:dyDescent="0.2">
      <c r="A101" s="56" t="s">
        <v>54</v>
      </c>
      <c r="B101" s="57">
        <v>20459952.030000001</v>
      </c>
      <c r="C101" s="57">
        <f>3219483.89+750000</f>
        <v>3969483.89</v>
      </c>
      <c r="D101" s="57">
        <v>4622183.53</v>
      </c>
      <c r="E101" s="57">
        <f>B101+C101-D101</f>
        <v>19807252.390000001</v>
      </c>
      <c r="F101" s="57">
        <f>E101-B101</f>
        <v>-652699.6400000006</v>
      </c>
      <c r="G101" s="58">
        <f>F101/B101</f>
        <v>-3.1901327971979636E-2</v>
      </c>
      <c r="H101" s="45"/>
      <c r="I101" s="30"/>
      <c r="J101" s="30"/>
      <c r="K101" s="44" t="s">
        <v>55</v>
      </c>
      <c r="L101" s="44"/>
      <c r="M101" s="59" t="s">
        <v>44</v>
      </c>
    </row>
    <row r="102" spans="1:17" ht="12" x14ac:dyDescent="0.2">
      <c r="A102" s="60" t="s">
        <v>56</v>
      </c>
      <c r="B102" s="61"/>
      <c r="C102" s="61"/>
      <c r="D102" s="61"/>
      <c r="E102" s="62"/>
      <c r="F102" s="61"/>
      <c r="G102" s="63"/>
      <c r="H102" s="64"/>
      <c r="I102" s="65"/>
      <c r="J102" s="66"/>
      <c r="K102" s="67" t="s">
        <v>54</v>
      </c>
      <c r="L102" s="67" t="str">
        <f>+K102&amp;" "&amp;TEXT(N102,"0%")</f>
        <v>GENERAL FUND 31%</v>
      </c>
      <c r="M102" s="16">
        <f>+E101</f>
        <v>19807252.390000001</v>
      </c>
      <c r="N102" s="68">
        <f>ROUND(M102/$M$110,3)</f>
        <v>0.309</v>
      </c>
    </row>
    <row r="103" spans="1:17" ht="12" x14ac:dyDescent="0.2">
      <c r="A103" s="69" t="s">
        <v>57</v>
      </c>
      <c r="B103" s="61">
        <v>21640.609999999986</v>
      </c>
      <c r="C103" s="61">
        <v>5469.83</v>
      </c>
      <c r="D103" s="70">
        <v>27110.44</v>
      </c>
      <c r="E103" s="61">
        <f>B103+C103-D103</f>
        <v>0</v>
      </c>
      <c r="F103" s="61">
        <f>E103-B103</f>
        <v>-21640.609999999986</v>
      </c>
      <c r="G103" s="63">
        <v>1</v>
      </c>
      <c r="H103" s="64"/>
      <c r="I103" s="18"/>
      <c r="J103" s="66"/>
      <c r="K103" s="67" t="s">
        <v>58</v>
      </c>
      <c r="L103" s="67" t="str">
        <f t="shared" ref="L103:L109" si="2">+K103&amp;" "&amp;TEXT(N103,"0%")</f>
        <v>CIP 42%</v>
      </c>
      <c r="M103" s="16">
        <f>+E104</f>
        <v>26544832.389999997</v>
      </c>
      <c r="N103" s="68">
        <f>ROUND(M103/$M$110,3)</f>
        <v>0.41499999999999998</v>
      </c>
    </row>
    <row r="104" spans="1:17" ht="12" x14ac:dyDescent="0.2">
      <c r="A104" s="69" t="s">
        <v>58</v>
      </c>
      <c r="B104" s="61">
        <v>25612959.479999997</v>
      </c>
      <c r="C104" s="61">
        <v>1208925</v>
      </c>
      <c r="D104" s="71">
        <v>277052.09000000003</v>
      </c>
      <c r="E104" s="61">
        <f>B104+C104-D104</f>
        <v>26544832.389999997</v>
      </c>
      <c r="F104" s="61">
        <f>E104-B104</f>
        <v>931872.91000000015</v>
      </c>
      <c r="G104" s="63">
        <f>F104/B104</f>
        <v>3.6382867459250762E-2</v>
      </c>
      <c r="H104" s="64"/>
      <c r="I104" s="18"/>
      <c r="J104" s="66"/>
      <c r="K104" s="67" t="s">
        <v>59</v>
      </c>
      <c r="L104" s="67" t="str">
        <f t="shared" si="2"/>
        <v>EQUIPMENT REPLACEMENT 4%</v>
      </c>
      <c r="M104" s="16">
        <f>+E105</f>
        <v>2672646.669999999</v>
      </c>
      <c r="N104" s="68">
        <f>ROUND(M104/$M$110,3)</f>
        <v>4.2000000000000003E-2</v>
      </c>
    </row>
    <row r="105" spans="1:17" ht="12" x14ac:dyDescent="0.2">
      <c r="A105" s="69" t="s">
        <v>59</v>
      </c>
      <c r="B105" s="61">
        <v>2608865.6199999992</v>
      </c>
      <c r="C105" s="61">
        <v>75225</v>
      </c>
      <c r="D105" s="72">
        <v>11443.95</v>
      </c>
      <c r="E105" s="61">
        <f>B105+C105-D105</f>
        <v>2672646.669999999</v>
      </c>
      <c r="F105" s="61">
        <f>E105-B105</f>
        <v>63781.049999999814</v>
      </c>
      <c r="G105" s="63">
        <f>F105/B105</f>
        <v>2.4447809619262732E-2</v>
      </c>
      <c r="H105" s="64"/>
      <c r="I105" s="18"/>
      <c r="J105" s="66"/>
      <c r="K105" s="73" t="s">
        <v>60</v>
      </c>
      <c r="L105" s="67" t="str">
        <f t="shared" si="2"/>
        <v>1911 ACT 2%</v>
      </c>
      <c r="M105" s="16">
        <f>+E115</f>
        <v>1495314.1300000001</v>
      </c>
      <c r="N105" s="68">
        <f>ROUND(M105/$M$110,3)</f>
        <v>2.3E-2</v>
      </c>
    </row>
    <row r="106" spans="1:17" ht="12" x14ac:dyDescent="0.2">
      <c r="A106" s="69" t="s">
        <v>61</v>
      </c>
      <c r="B106" s="61">
        <v>0</v>
      </c>
      <c r="C106" s="61">
        <v>0</v>
      </c>
      <c r="D106" s="72">
        <v>0</v>
      </c>
      <c r="E106" s="61">
        <f>B106+C106-D106</f>
        <v>0</v>
      </c>
      <c r="F106" s="61">
        <f>E106-B106</f>
        <v>0</v>
      </c>
      <c r="G106" s="63">
        <v>0</v>
      </c>
      <c r="H106" s="64"/>
      <c r="I106" s="18"/>
      <c r="J106" s="66"/>
      <c r="K106" s="73" t="s">
        <v>62</v>
      </c>
      <c r="L106" s="67" t="str">
        <f t="shared" si="2"/>
        <v>HABITAT RESTORATION 1%</v>
      </c>
      <c r="M106" s="16">
        <f>+E123</f>
        <v>939371.28999999992</v>
      </c>
      <c r="N106" s="68">
        <f>ROUND(M106/$M$110,3)-0.01</f>
        <v>4.9999999999999992E-3</v>
      </c>
    </row>
    <row r="107" spans="1:17" ht="12" x14ac:dyDescent="0.2">
      <c r="A107" s="74" t="s">
        <v>63</v>
      </c>
      <c r="B107" s="61">
        <v>0</v>
      </c>
      <c r="C107" s="61">
        <v>0</v>
      </c>
      <c r="D107" s="72">
        <v>0</v>
      </c>
      <c r="E107" s="61">
        <f>B107+C107-D107</f>
        <v>0</v>
      </c>
      <c r="F107" s="61">
        <f>E107-B107</f>
        <v>0</v>
      </c>
      <c r="G107" s="63">
        <v>0</v>
      </c>
      <c r="H107" s="64"/>
      <c r="I107" s="18"/>
      <c r="J107" s="66"/>
      <c r="K107" s="73" t="s">
        <v>64</v>
      </c>
      <c r="L107" s="67" t="str">
        <f t="shared" si="2"/>
        <v>QUIMBY 3%</v>
      </c>
      <c r="M107" s="16">
        <f>+E132</f>
        <v>1711181.2999999998</v>
      </c>
      <c r="N107" s="68">
        <f>ROUND(M107/$M$110,3)</f>
        <v>2.7E-2</v>
      </c>
    </row>
    <row r="108" spans="1:17" ht="12" x14ac:dyDescent="0.2">
      <c r="A108" s="56" t="s">
        <v>65</v>
      </c>
      <c r="B108" s="57">
        <f>SUM(B103:B107)</f>
        <v>28243465.709999993</v>
      </c>
      <c r="C108" s="57">
        <f>SUM(C103:C107)</f>
        <v>1289619.83</v>
      </c>
      <c r="D108" s="57">
        <f>SUM(D103:D107)</f>
        <v>315606.48000000004</v>
      </c>
      <c r="E108" s="57">
        <f>SUM(E103:E107)</f>
        <v>29217479.059999995</v>
      </c>
      <c r="F108" s="57">
        <f>SUM(F103:F107)</f>
        <v>974013.35</v>
      </c>
      <c r="G108" s="58">
        <f>F108/B108</f>
        <v>3.4486325438989482E-2</v>
      </c>
      <c r="H108" s="45"/>
      <c r="I108" s="65"/>
      <c r="J108" s="66"/>
      <c r="K108" s="73"/>
      <c r="L108" s="67"/>
      <c r="M108" s="16"/>
      <c r="N108" s="19">
        <f>ROUND(M108/$M$110,3)</f>
        <v>0</v>
      </c>
    </row>
    <row r="109" spans="1:17" s="23" customFormat="1" ht="12" x14ac:dyDescent="0.2">
      <c r="A109" s="60" t="s">
        <v>66</v>
      </c>
      <c r="B109" s="62"/>
      <c r="C109" s="62"/>
      <c r="D109" s="62"/>
      <c r="E109" s="62"/>
      <c r="F109" s="62"/>
      <c r="G109" s="75"/>
      <c r="H109" s="76"/>
      <c r="I109" s="65"/>
      <c r="J109" s="66"/>
      <c r="K109" s="67" t="s">
        <v>67</v>
      </c>
      <c r="L109" s="67" t="str">
        <f t="shared" si="2"/>
        <v>OTHER RESTRICTED FUNDS 17%</v>
      </c>
      <c r="M109" s="77">
        <f>+E147-M102-M103-M104-M105-M106-M107-M108</f>
        <v>10836042.560000002</v>
      </c>
      <c r="N109" s="68">
        <f>ROUND(M109/$M$110,3)</f>
        <v>0.16900000000000001</v>
      </c>
      <c r="Q109" s="78"/>
    </row>
    <row r="110" spans="1:17" ht="12" x14ac:dyDescent="0.2">
      <c r="A110" s="69" t="s">
        <v>68</v>
      </c>
      <c r="B110" s="61">
        <v>743832.26000000013</v>
      </c>
      <c r="C110" s="61">
        <v>137304.87</v>
      </c>
      <c r="D110" s="61">
        <v>33356.76</v>
      </c>
      <c r="E110" s="61">
        <f>B110+C110-D110</f>
        <v>847780.37000000011</v>
      </c>
      <c r="F110" s="61">
        <f>E110-B110</f>
        <v>103948.10999999999</v>
      </c>
      <c r="G110" s="63">
        <f>F110/B110</f>
        <v>0.13974670848505544</v>
      </c>
      <c r="H110" s="64"/>
      <c r="I110" s="18"/>
      <c r="J110" s="66"/>
      <c r="K110" s="79"/>
      <c r="L110" s="79"/>
      <c r="M110" s="16">
        <f>SUM(M102:M109)</f>
        <v>64006640.730000004</v>
      </c>
      <c r="N110" s="19">
        <f>SUM(N102:N109)+0.01</f>
        <v>1</v>
      </c>
    </row>
    <row r="111" spans="1:17" ht="12" x14ac:dyDescent="0.2">
      <c r="A111" s="80" t="s">
        <v>69</v>
      </c>
      <c r="B111" s="61">
        <v>28097.980000000003</v>
      </c>
      <c r="C111" s="61">
        <v>0</v>
      </c>
      <c r="D111" s="61">
        <v>0</v>
      </c>
      <c r="E111" s="61">
        <f t="shared" ref="E111:E143" si="3">B111+C111-D111</f>
        <v>28097.980000000003</v>
      </c>
      <c r="F111" s="61">
        <f t="shared" ref="F111:F143" si="4">E111-B111</f>
        <v>0</v>
      </c>
      <c r="G111" s="63">
        <f t="shared" ref="G111:G143" si="5">F111/B111</f>
        <v>0</v>
      </c>
      <c r="H111" s="64"/>
      <c r="I111" s="18"/>
      <c r="J111" s="66"/>
      <c r="K111" s="79"/>
      <c r="P111" s="4"/>
      <c r="Q111" s="3"/>
    </row>
    <row r="112" spans="1:17" ht="12" x14ac:dyDescent="0.2">
      <c r="A112" s="69" t="s">
        <v>70</v>
      </c>
      <c r="B112" s="61">
        <v>32429.189999999991</v>
      </c>
      <c r="C112" s="61">
        <v>11.49</v>
      </c>
      <c r="D112" s="61">
        <v>19.010000000000002</v>
      </c>
      <c r="E112" s="61">
        <f t="shared" si="3"/>
        <v>32421.669999999995</v>
      </c>
      <c r="F112" s="61">
        <f t="shared" si="4"/>
        <v>-7.5199999999967986</v>
      </c>
      <c r="G112" s="63">
        <f t="shared" si="5"/>
        <v>-2.318898498543072E-4</v>
      </c>
      <c r="H112" s="64"/>
      <c r="I112" s="18"/>
      <c r="J112" s="66"/>
      <c r="K112" s="79"/>
      <c r="P112" s="4"/>
      <c r="Q112" s="3"/>
    </row>
    <row r="113" spans="1:17" ht="12" x14ac:dyDescent="0.2">
      <c r="A113" s="69" t="s">
        <v>71</v>
      </c>
      <c r="B113" s="61">
        <v>0</v>
      </c>
      <c r="C113" s="61">
        <v>15119</v>
      </c>
      <c r="D113" s="61">
        <v>7550</v>
      </c>
      <c r="E113" s="61">
        <f t="shared" si="3"/>
        <v>7569</v>
      </c>
      <c r="F113" s="61">
        <f t="shared" si="4"/>
        <v>7569</v>
      </c>
      <c r="G113" s="63">
        <v>0</v>
      </c>
      <c r="H113" s="64"/>
      <c r="I113" s="18"/>
      <c r="J113" s="66"/>
      <c r="K113" s="79"/>
      <c r="L113" s="28"/>
      <c r="P113" s="4"/>
      <c r="Q113" s="3"/>
    </row>
    <row r="114" spans="1:17" ht="12" x14ac:dyDescent="0.2">
      <c r="A114" s="81" t="s">
        <v>72</v>
      </c>
      <c r="B114" s="61">
        <v>0</v>
      </c>
      <c r="C114" s="61">
        <v>0</v>
      </c>
      <c r="D114" s="61">
        <v>0</v>
      </c>
      <c r="E114" s="61">
        <f t="shared" si="3"/>
        <v>0</v>
      </c>
      <c r="F114" s="61">
        <f t="shared" si="4"/>
        <v>0</v>
      </c>
      <c r="G114" s="63">
        <v>0</v>
      </c>
      <c r="H114" s="64"/>
      <c r="I114" s="18"/>
      <c r="J114" s="66"/>
      <c r="K114" s="79"/>
      <c r="P114" s="4"/>
      <c r="Q114" s="3"/>
    </row>
    <row r="115" spans="1:17" ht="12" x14ac:dyDescent="0.2">
      <c r="A115" s="69" t="s">
        <v>60</v>
      </c>
      <c r="B115" s="61">
        <v>1524647.87</v>
      </c>
      <c r="C115" s="61">
        <v>2885.49</v>
      </c>
      <c r="D115" s="61">
        <v>32219.23</v>
      </c>
      <c r="E115" s="61">
        <f t="shared" si="3"/>
        <v>1495314.1300000001</v>
      </c>
      <c r="F115" s="61">
        <f t="shared" si="4"/>
        <v>-29333.739999999991</v>
      </c>
      <c r="G115" s="63">
        <f t="shared" si="5"/>
        <v>-1.9239681881430097E-2</v>
      </c>
      <c r="H115" s="64"/>
      <c r="I115" s="18"/>
      <c r="J115" s="66"/>
      <c r="K115" s="79"/>
      <c r="P115" s="4"/>
      <c r="Q115" s="3"/>
    </row>
    <row r="116" spans="1:17" ht="12" x14ac:dyDescent="0.2">
      <c r="A116" s="69" t="s">
        <v>73</v>
      </c>
      <c r="B116" s="61">
        <v>446600.09</v>
      </c>
      <c r="C116" s="61">
        <v>30494.6</v>
      </c>
      <c r="D116" s="61">
        <v>16517.47</v>
      </c>
      <c r="E116" s="61">
        <f t="shared" si="3"/>
        <v>460577.22</v>
      </c>
      <c r="F116" s="61">
        <f t="shared" si="4"/>
        <v>13977.129999999946</v>
      </c>
      <c r="G116" s="63">
        <f t="shared" si="5"/>
        <v>3.1296746939750833E-2</v>
      </c>
      <c r="H116" s="64"/>
      <c r="I116" s="18"/>
      <c r="J116" s="66"/>
      <c r="K116" s="79"/>
      <c r="P116" s="4"/>
      <c r="Q116" s="3"/>
    </row>
    <row r="117" spans="1:17" ht="12" x14ac:dyDescent="0.2">
      <c r="A117" s="69" t="s">
        <v>74</v>
      </c>
      <c r="B117" s="61">
        <v>81884.66</v>
      </c>
      <c r="C117" s="61">
        <v>0</v>
      </c>
      <c r="D117" s="61">
        <v>0</v>
      </c>
      <c r="E117" s="61">
        <f t="shared" si="3"/>
        <v>81884.66</v>
      </c>
      <c r="F117" s="61">
        <f t="shared" si="4"/>
        <v>0</v>
      </c>
      <c r="G117" s="63">
        <f t="shared" si="5"/>
        <v>0</v>
      </c>
      <c r="H117" s="64"/>
      <c r="I117" s="18"/>
      <c r="J117" s="66"/>
      <c r="K117" s="11"/>
      <c r="L117" s="11"/>
      <c r="M117" s="12" t="s">
        <v>75</v>
      </c>
      <c r="N117" s="12" t="s">
        <v>76</v>
      </c>
      <c r="O117" s="12" t="s">
        <v>77</v>
      </c>
      <c r="P117" s="12" t="s">
        <v>78</v>
      </c>
      <c r="Q117" s="12" t="s">
        <v>79</v>
      </c>
    </row>
    <row r="118" spans="1:17" ht="12.75" thickBot="1" x14ac:dyDescent="0.25">
      <c r="A118" s="69" t="s">
        <v>80</v>
      </c>
      <c r="B118" s="61">
        <v>895383.81</v>
      </c>
      <c r="C118" s="61">
        <v>56949.75</v>
      </c>
      <c r="D118" s="61">
        <v>28105.01</v>
      </c>
      <c r="E118" s="61">
        <f t="shared" si="3"/>
        <v>924228.55</v>
      </c>
      <c r="F118" s="61">
        <f t="shared" si="4"/>
        <v>28844.739999999991</v>
      </c>
      <c r="G118" s="63">
        <f t="shared" si="5"/>
        <v>3.2214944784404786E-2</v>
      </c>
      <c r="H118" s="64"/>
      <c r="I118" s="18"/>
      <c r="J118" s="66"/>
      <c r="K118" s="82"/>
      <c r="L118" s="83" t="s">
        <v>81</v>
      </c>
      <c r="M118" s="83" t="s">
        <v>81</v>
      </c>
      <c r="N118" s="83" t="s">
        <v>82</v>
      </c>
      <c r="O118" s="83" t="s">
        <v>83</v>
      </c>
      <c r="P118" s="83" t="s">
        <v>84</v>
      </c>
      <c r="Q118" s="83" t="s">
        <v>83</v>
      </c>
    </row>
    <row r="119" spans="1:17" ht="12" x14ac:dyDescent="0.2">
      <c r="A119" s="69" t="s">
        <v>85</v>
      </c>
      <c r="B119" s="61">
        <v>2022142.8400000003</v>
      </c>
      <c r="C119" s="61">
        <v>68658.52</v>
      </c>
      <c r="D119" s="61">
        <v>0</v>
      </c>
      <c r="E119" s="61">
        <f t="shared" si="3"/>
        <v>2090801.3600000003</v>
      </c>
      <c r="F119" s="61">
        <f t="shared" si="4"/>
        <v>68658.520000000019</v>
      </c>
      <c r="G119" s="63">
        <f t="shared" si="5"/>
        <v>3.3953348221434254E-2</v>
      </c>
      <c r="H119" s="64"/>
      <c r="I119" s="18"/>
      <c r="J119" s="66"/>
      <c r="K119" s="67"/>
      <c r="L119" s="84" t="s">
        <v>86</v>
      </c>
      <c r="M119" s="85" t="s">
        <v>87</v>
      </c>
      <c r="N119" s="86">
        <f>I176+I180</f>
        <v>5329765.0100000016</v>
      </c>
      <c r="O119" s="87">
        <f>AVERAGE(J176,J180)</f>
        <v>0</v>
      </c>
      <c r="P119" s="88" t="s">
        <v>88</v>
      </c>
      <c r="Q119" s="88" t="s">
        <v>88</v>
      </c>
    </row>
    <row r="120" spans="1:17" ht="12" x14ac:dyDescent="0.2">
      <c r="A120" s="69" t="s">
        <v>89</v>
      </c>
      <c r="B120" s="61">
        <v>124713.64000000004</v>
      </c>
      <c r="C120" s="61">
        <v>0</v>
      </c>
      <c r="D120" s="61">
        <v>32500</v>
      </c>
      <c r="E120" s="61">
        <f t="shared" si="3"/>
        <v>92213.640000000043</v>
      </c>
      <c r="F120" s="61">
        <f t="shared" si="4"/>
        <v>-32500</v>
      </c>
      <c r="G120" s="63">
        <f t="shared" si="5"/>
        <v>-0.2605969964472209</v>
      </c>
      <c r="H120" s="64"/>
      <c r="I120" s="18"/>
      <c r="J120" s="66"/>
      <c r="K120" s="67"/>
      <c r="L120" s="84"/>
      <c r="M120" s="85"/>
      <c r="N120" s="86"/>
      <c r="O120" s="87"/>
      <c r="P120" s="88"/>
      <c r="Q120" s="88"/>
    </row>
    <row r="121" spans="1:17" ht="12" x14ac:dyDescent="0.2">
      <c r="A121" s="69" t="s">
        <v>90</v>
      </c>
      <c r="B121" s="61">
        <v>797795.82</v>
      </c>
      <c r="C121" s="61">
        <v>42711.79</v>
      </c>
      <c r="D121" s="61">
        <v>6123.5</v>
      </c>
      <c r="E121" s="61">
        <f t="shared" si="3"/>
        <v>834384.11</v>
      </c>
      <c r="F121" s="61">
        <f t="shared" si="4"/>
        <v>36588.290000000037</v>
      </c>
      <c r="G121" s="63">
        <f t="shared" si="5"/>
        <v>4.5861721862618984E-2</v>
      </c>
      <c r="H121" s="64"/>
      <c r="I121" s="18"/>
      <c r="J121" s="66"/>
      <c r="K121" s="67"/>
      <c r="L121" s="84" t="s">
        <v>91</v>
      </c>
      <c r="M121" s="85" t="s">
        <v>92</v>
      </c>
      <c r="N121" s="86">
        <f>I182</f>
        <v>31259265.489999995</v>
      </c>
      <c r="O121" s="87">
        <f>AVERAGE(J182)</f>
        <v>2.4279999999999999E-2</v>
      </c>
      <c r="P121" s="89">
        <f>+N121/(N$125-N$119)</f>
        <v>0.53108889871777176</v>
      </c>
      <c r="Q121" s="90">
        <f>ROUND(O121*P121,4)</f>
        <v>1.29E-2</v>
      </c>
    </row>
    <row r="122" spans="1:17" ht="12" x14ac:dyDescent="0.2">
      <c r="A122" s="69" t="s">
        <v>93</v>
      </c>
      <c r="B122" s="61">
        <v>51720.329999999994</v>
      </c>
      <c r="C122" s="61">
        <v>48761.3</v>
      </c>
      <c r="D122" s="61">
        <v>19627.36</v>
      </c>
      <c r="E122" s="61">
        <f t="shared" si="3"/>
        <v>80854.27</v>
      </c>
      <c r="F122" s="61">
        <f t="shared" si="4"/>
        <v>29133.94000000001</v>
      </c>
      <c r="G122" s="63">
        <f>F122/B122</f>
        <v>0.56329764330583376</v>
      </c>
      <c r="H122" s="64"/>
      <c r="I122" s="18"/>
      <c r="J122" s="66"/>
      <c r="K122" s="73"/>
      <c r="L122" s="15" t="s">
        <v>94</v>
      </c>
      <c r="M122" s="85" t="s">
        <v>95</v>
      </c>
      <c r="N122" s="86">
        <f>I184+I186</f>
        <v>4149553.75</v>
      </c>
      <c r="O122" s="87">
        <f>AVERAGE(J184:J186)</f>
        <v>1.6750000000000001E-2</v>
      </c>
      <c r="P122" s="89">
        <f t="shared" ref="P122:P124" si="6">+N122/(N$125-N$119)</f>
        <v>7.0500118819576921E-2</v>
      </c>
      <c r="Q122" s="90">
        <f t="shared" ref="Q122:Q124" si="7">ROUND(O122*P122,4)</f>
        <v>1.1999999999999999E-3</v>
      </c>
    </row>
    <row r="123" spans="1:17" ht="12" x14ac:dyDescent="0.2">
      <c r="A123" s="69" t="s">
        <v>62</v>
      </c>
      <c r="B123" s="61">
        <v>939371.28999999992</v>
      </c>
      <c r="C123" s="62">
        <v>0</v>
      </c>
      <c r="D123" s="62">
        <v>0</v>
      </c>
      <c r="E123" s="61">
        <f t="shared" si="3"/>
        <v>939371.28999999992</v>
      </c>
      <c r="F123" s="61">
        <f t="shared" si="4"/>
        <v>0</v>
      </c>
      <c r="G123" s="63">
        <f t="shared" si="5"/>
        <v>0</v>
      </c>
      <c r="H123" s="64"/>
      <c r="I123" s="18"/>
      <c r="J123" s="66"/>
      <c r="K123" s="91"/>
      <c r="L123" s="3" t="s">
        <v>94</v>
      </c>
      <c r="M123" s="92" t="s">
        <v>96</v>
      </c>
      <c r="N123" s="86">
        <f>SUM(I188:I257)</f>
        <v>17450000</v>
      </c>
      <c r="O123" s="87">
        <f>AVERAGE(J188:J257)</f>
        <v>1.8028571428571418E-2</v>
      </c>
      <c r="P123" s="89">
        <f t="shared" si="6"/>
        <v>0.29647213833574693</v>
      </c>
      <c r="Q123" s="90">
        <f t="shared" si="7"/>
        <v>5.3E-3</v>
      </c>
    </row>
    <row r="124" spans="1:17" ht="22.5" x14ac:dyDescent="0.2">
      <c r="A124" s="69" t="s">
        <v>97</v>
      </c>
      <c r="B124" s="61">
        <v>763345.51</v>
      </c>
      <c r="C124" s="62">
        <v>0</v>
      </c>
      <c r="D124" s="62">
        <v>2423.02</v>
      </c>
      <c r="E124" s="61">
        <f t="shared" si="3"/>
        <v>760922.49</v>
      </c>
      <c r="F124" s="61">
        <f t="shared" si="4"/>
        <v>-2423.0200000000186</v>
      </c>
      <c r="G124" s="63">
        <f>F124/B124</f>
        <v>-3.1742113738247031E-3</v>
      </c>
      <c r="H124" s="64"/>
      <c r="I124" s="18"/>
      <c r="J124" s="66"/>
      <c r="K124" s="91"/>
      <c r="L124" s="3" t="s">
        <v>98</v>
      </c>
      <c r="M124" s="92" t="s">
        <v>99</v>
      </c>
      <c r="N124" s="86">
        <f>SUM(I259:I265)</f>
        <v>6000000</v>
      </c>
      <c r="O124" s="87">
        <f>AVERAGE(J259:J265)</f>
        <v>1.4107142857142858E-2</v>
      </c>
      <c r="P124" s="89">
        <f t="shared" si="6"/>
        <v>0.10193884412690438</v>
      </c>
      <c r="Q124" s="90">
        <f t="shared" si="7"/>
        <v>1.4E-3</v>
      </c>
    </row>
    <row r="125" spans="1:17" ht="12.75" thickBot="1" x14ac:dyDescent="0.25">
      <c r="A125" s="81" t="s">
        <v>100</v>
      </c>
      <c r="B125" s="61">
        <v>88472.84</v>
      </c>
      <c r="C125" s="62">
        <v>0</v>
      </c>
      <c r="D125" s="62">
        <v>22500</v>
      </c>
      <c r="E125" s="61">
        <f t="shared" si="3"/>
        <v>65972.84</v>
      </c>
      <c r="F125" s="61">
        <f t="shared" si="4"/>
        <v>-22500</v>
      </c>
      <c r="G125" s="63">
        <f t="shared" si="5"/>
        <v>-0.25431533564424968</v>
      </c>
      <c r="H125" s="64"/>
      <c r="I125" s="18"/>
      <c r="J125" s="66"/>
      <c r="M125" s="92"/>
      <c r="N125" s="93">
        <f>SUM(N119:N124)</f>
        <v>64188584.25</v>
      </c>
      <c r="O125" s="87"/>
      <c r="P125" s="94">
        <f>SUM(P119:P124)</f>
        <v>1</v>
      </c>
      <c r="Q125" s="94">
        <f>SUM(Q119:Q124)</f>
        <v>2.0799999999999999E-2</v>
      </c>
    </row>
    <row r="126" spans="1:17" ht="12.75" thickTop="1" x14ac:dyDescent="0.2">
      <c r="A126" s="81" t="s">
        <v>101</v>
      </c>
      <c r="B126" s="61">
        <v>333605.81</v>
      </c>
      <c r="C126" s="62">
        <v>0</v>
      </c>
      <c r="D126" s="62">
        <v>3341.05</v>
      </c>
      <c r="E126" s="61">
        <f t="shared" si="3"/>
        <v>330264.76</v>
      </c>
      <c r="F126" s="61">
        <f t="shared" si="4"/>
        <v>-3341.0499999999884</v>
      </c>
      <c r="G126" s="63">
        <f t="shared" si="5"/>
        <v>-1.0014963468411981E-2</v>
      </c>
      <c r="H126" s="64"/>
      <c r="I126" s="18"/>
      <c r="J126" s="66"/>
      <c r="P126" s="4"/>
      <c r="Q126" s="3"/>
    </row>
    <row r="127" spans="1:17" ht="12" x14ac:dyDescent="0.2">
      <c r="A127" s="81" t="s">
        <v>102</v>
      </c>
      <c r="B127" s="61">
        <v>0</v>
      </c>
      <c r="C127" s="62">
        <v>0</v>
      </c>
      <c r="D127" s="62">
        <v>0</v>
      </c>
      <c r="E127" s="61">
        <f t="shared" si="3"/>
        <v>0</v>
      </c>
      <c r="F127" s="61">
        <f t="shared" si="4"/>
        <v>0</v>
      </c>
      <c r="G127" s="63">
        <v>0</v>
      </c>
      <c r="H127" s="64"/>
      <c r="I127" s="18"/>
      <c r="J127" s="66"/>
      <c r="P127" s="4"/>
      <c r="Q127" s="3"/>
    </row>
    <row r="128" spans="1:17" ht="12" x14ac:dyDescent="0.2">
      <c r="A128" s="81" t="s">
        <v>103</v>
      </c>
      <c r="B128" s="61">
        <v>1752.0499999999918</v>
      </c>
      <c r="C128" s="62">
        <v>0</v>
      </c>
      <c r="D128" s="62">
        <v>0</v>
      </c>
      <c r="E128" s="61">
        <f t="shared" si="3"/>
        <v>1752.0499999999918</v>
      </c>
      <c r="F128" s="61">
        <f t="shared" si="4"/>
        <v>0</v>
      </c>
      <c r="G128" s="63">
        <f t="shared" si="5"/>
        <v>0</v>
      </c>
      <c r="H128" s="64"/>
      <c r="I128" s="18"/>
      <c r="J128" s="66"/>
      <c r="P128" s="4"/>
      <c r="Q128" s="3"/>
    </row>
    <row r="129" spans="1:17" ht="12" x14ac:dyDescent="0.2">
      <c r="A129" s="81" t="s">
        <v>104</v>
      </c>
      <c r="B129" s="61">
        <v>769271.15</v>
      </c>
      <c r="C129" s="62">
        <v>6500</v>
      </c>
      <c r="D129" s="62">
        <v>11356.42</v>
      </c>
      <c r="E129" s="61">
        <f t="shared" si="3"/>
        <v>764414.73</v>
      </c>
      <c r="F129" s="61">
        <f t="shared" si="4"/>
        <v>-4856.4200000000419</v>
      </c>
      <c r="G129" s="63">
        <f t="shared" si="5"/>
        <v>-6.3130145982987166E-3</v>
      </c>
      <c r="H129" s="64"/>
      <c r="I129" s="18"/>
      <c r="J129" s="66"/>
      <c r="P129" s="4"/>
      <c r="Q129" s="3"/>
    </row>
    <row r="130" spans="1:17" ht="12" x14ac:dyDescent="0.2">
      <c r="A130" s="81" t="s">
        <v>105</v>
      </c>
      <c r="B130" s="61">
        <v>903692.98999999987</v>
      </c>
      <c r="C130" s="62">
        <v>0</v>
      </c>
      <c r="D130" s="62">
        <v>79000</v>
      </c>
      <c r="E130" s="61">
        <f t="shared" si="3"/>
        <v>824692.98999999987</v>
      </c>
      <c r="F130" s="61">
        <f t="shared" si="4"/>
        <v>-79000</v>
      </c>
      <c r="G130" s="63">
        <f t="shared" si="5"/>
        <v>-8.7419069168612237E-2</v>
      </c>
      <c r="H130" s="64"/>
      <c r="I130" s="18"/>
      <c r="J130" s="66"/>
      <c r="P130" s="4"/>
      <c r="Q130" s="3"/>
    </row>
    <row r="131" spans="1:17" ht="12" x14ac:dyDescent="0.2">
      <c r="A131" s="81" t="s">
        <v>106</v>
      </c>
      <c r="B131" s="61">
        <v>0</v>
      </c>
      <c r="C131" s="62">
        <v>89047.21</v>
      </c>
      <c r="D131" s="62">
        <v>89047.21</v>
      </c>
      <c r="E131" s="61">
        <f t="shared" si="3"/>
        <v>0</v>
      </c>
      <c r="F131" s="61">
        <f t="shared" si="4"/>
        <v>0</v>
      </c>
      <c r="G131" s="63">
        <v>0</v>
      </c>
      <c r="H131" s="64"/>
      <c r="I131" s="18"/>
      <c r="J131" s="66"/>
      <c r="P131" s="4"/>
      <c r="Q131" s="3"/>
    </row>
    <row r="132" spans="1:17" ht="12" x14ac:dyDescent="0.2">
      <c r="A132" s="69" t="s">
        <v>64</v>
      </c>
      <c r="B132" s="61">
        <v>1759649.2999999998</v>
      </c>
      <c r="C132" s="62">
        <v>0</v>
      </c>
      <c r="D132" s="62">
        <v>48468</v>
      </c>
      <c r="E132" s="61">
        <f t="shared" si="3"/>
        <v>1711181.2999999998</v>
      </c>
      <c r="F132" s="61">
        <f t="shared" si="4"/>
        <v>-48468</v>
      </c>
      <c r="G132" s="63">
        <f t="shared" si="5"/>
        <v>-2.7544124843512856E-2</v>
      </c>
      <c r="H132" s="64"/>
      <c r="I132" s="18"/>
      <c r="J132" s="66"/>
      <c r="P132" s="4"/>
      <c r="Q132" s="3"/>
    </row>
    <row r="133" spans="1:17" ht="12" x14ac:dyDescent="0.2">
      <c r="A133" s="69" t="s">
        <v>107</v>
      </c>
      <c r="B133" s="61">
        <v>153813.37</v>
      </c>
      <c r="C133" s="62">
        <v>0</v>
      </c>
      <c r="D133" s="62">
        <v>0</v>
      </c>
      <c r="E133" s="61">
        <f t="shared" si="3"/>
        <v>153813.37</v>
      </c>
      <c r="F133" s="61">
        <f t="shared" si="4"/>
        <v>0</v>
      </c>
      <c r="G133" s="63">
        <f t="shared" si="5"/>
        <v>0</v>
      </c>
      <c r="H133" s="64"/>
      <c r="I133" s="18"/>
      <c r="J133" s="66"/>
      <c r="P133" s="4"/>
      <c r="Q133" s="3"/>
    </row>
    <row r="134" spans="1:17" ht="12" x14ac:dyDescent="0.2">
      <c r="A134" s="69" t="s">
        <v>108</v>
      </c>
      <c r="B134" s="61">
        <v>830397.80999999994</v>
      </c>
      <c r="C134" s="62">
        <v>0</v>
      </c>
      <c r="D134" s="62">
        <v>0</v>
      </c>
      <c r="E134" s="61">
        <f t="shared" si="3"/>
        <v>830397.80999999994</v>
      </c>
      <c r="F134" s="61">
        <f t="shared" si="4"/>
        <v>0</v>
      </c>
      <c r="G134" s="63">
        <f t="shared" si="5"/>
        <v>0</v>
      </c>
      <c r="H134" s="64"/>
      <c r="I134" s="18"/>
      <c r="J134" s="66"/>
      <c r="P134" s="4"/>
      <c r="Q134" s="3"/>
    </row>
    <row r="135" spans="1:17" ht="12" x14ac:dyDescent="0.2">
      <c r="A135" s="69" t="s">
        <v>109</v>
      </c>
      <c r="B135" s="61">
        <v>506544.99000000005</v>
      </c>
      <c r="C135" s="61">
        <v>0</v>
      </c>
      <c r="D135" s="61">
        <v>0</v>
      </c>
      <c r="E135" s="61">
        <f t="shared" si="3"/>
        <v>506544.99000000005</v>
      </c>
      <c r="F135" s="61">
        <f t="shared" si="4"/>
        <v>0</v>
      </c>
      <c r="G135" s="63">
        <f t="shared" si="5"/>
        <v>0</v>
      </c>
      <c r="H135" s="64"/>
      <c r="I135" s="18"/>
      <c r="J135" s="66"/>
      <c r="P135" s="4"/>
      <c r="Q135" s="3"/>
    </row>
    <row r="136" spans="1:17" ht="12" x14ac:dyDescent="0.2">
      <c r="A136" s="69" t="s">
        <v>110</v>
      </c>
      <c r="B136" s="61">
        <v>0</v>
      </c>
      <c r="C136" s="61">
        <v>0</v>
      </c>
      <c r="D136" s="61">
        <v>0</v>
      </c>
      <c r="E136" s="61">
        <f t="shared" si="3"/>
        <v>0</v>
      </c>
      <c r="F136" s="61">
        <f t="shared" si="4"/>
        <v>0</v>
      </c>
      <c r="G136" s="63">
        <v>0</v>
      </c>
      <c r="H136" s="64"/>
      <c r="I136" s="18"/>
      <c r="J136" s="66"/>
      <c r="P136" s="4"/>
      <c r="Q136" s="3"/>
    </row>
    <row r="137" spans="1:17" ht="12" x14ac:dyDescent="0.2">
      <c r="A137" s="69" t="s">
        <v>111</v>
      </c>
      <c r="B137" s="61">
        <v>79134.110000000015</v>
      </c>
      <c r="C137" s="61">
        <v>0</v>
      </c>
      <c r="D137" s="61">
        <v>0</v>
      </c>
      <c r="E137" s="61">
        <f t="shared" si="3"/>
        <v>79134.110000000015</v>
      </c>
      <c r="F137" s="61">
        <f t="shared" si="4"/>
        <v>0</v>
      </c>
      <c r="G137" s="63">
        <f>F137/B137</f>
        <v>0</v>
      </c>
      <c r="H137" s="64"/>
      <c r="I137" s="18"/>
      <c r="J137" s="66"/>
      <c r="P137" s="4"/>
      <c r="Q137" s="3"/>
    </row>
    <row r="138" spans="1:17" ht="12" x14ac:dyDescent="0.2">
      <c r="A138" s="69" t="s">
        <v>112</v>
      </c>
      <c r="B138" s="61">
        <v>0</v>
      </c>
      <c r="C138" s="61">
        <v>0</v>
      </c>
      <c r="D138" s="61">
        <v>0</v>
      </c>
      <c r="E138" s="61">
        <f t="shared" si="3"/>
        <v>0</v>
      </c>
      <c r="F138" s="61">
        <f t="shared" si="4"/>
        <v>0</v>
      </c>
      <c r="G138" s="63">
        <v>0</v>
      </c>
      <c r="H138" s="64"/>
      <c r="I138" s="18"/>
      <c r="J138" s="66"/>
      <c r="P138" s="4"/>
      <c r="Q138" s="3"/>
    </row>
    <row r="139" spans="1:17" ht="12" x14ac:dyDescent="0.2">
      <c r="A139" s="69" t="s">
        <v>113</v>
      </c>
      <c r="B139" s="61">
        <v>0</v>
      </c>
      <c r="C139" s="61">
        <v>0</v>
      </c>
      <c r="D139" s="61">
        <v>0</v>
      </c>
      <c r="E139" s="61">
        <f t="shared" si="3"/>
        <v>0</v>
      </c>
      <c r="F139" s="61">
        <f t="shared" si="4"/>
        <v>0</v>
      </c>
      <c r="G139" s="63">
        <v>0</v>
      </c>
      <c r="H139" s="64"/>
      <c r="I139" s="18"/>
      <c r="J139" s="66"/>
      <c r="P139" s="4"/>
      <c r="Q139" s="3"/>
    </row>
    <row r="140" spans="1:17" ht="12" x14ac:dyDescent="0.2">
      <c r="A140" s="69" t="s">
        <v>114</v>
      </c>
      <c r="B140" s="61">
        <v>200000</v>
      </c>
      <c r="C140" s="61">
        <v>0</v>
      </c>
      <c r="D140" s="61">
        <v>0</v>
      </c>
      <c r="E140" s="61">
        <f t="shared" si="3"/>
        <v>200000</v>
      </c>
      <c r="F140" s="61">
        <f t="shared" si="4"/>
        <v>0</v>
      </c>
      <c r="G140" s="63">
        <f>F140/B140</f>
        <v>0</v>
      </c>
      <c r="H140" s="64"/>
      <c r="I140" s="18"/>
      <c r="J140" s="66"/>
      <c r="P140" s="4"/>
      <c r="Q140" s="3"/>
    </row>
    <row r="141" spans="1:17" ht="12" x14ac:dyDescent="0.2">
      <c r="A141" s="69" t="s">
        <v>115</v>
      </c>
      <c r="B141" s="61">
        <v>190314.62</v>
      </c>
      <c r="C141" s="62">
        <v>0</v>
      </c>
      <c r="D141" s="62">
        <v>0</v>
      </c>
      <c r="E141" s="61">
        <f t="shared" si="3"/>
        <v>190314.62</v>
      </c>
      <c r="F141" s="61">
        <f t="shared" si="4"/>
        <v>0</v>
      </c>
      <c r="G141" s="63">
        <f>F141/B141</f>
        <v>0</v>
      </c>
      <c r="H141" s="64"/>
      <c r="I141" s="18"/>
      <c r="J141" s="66"/>
      <c r="P141" s="4"/>
      <c r="Q141" s="3"/>
    </row>
    <row r="142" spans="1:17" ht="12" x14ac:dyDescent="0.2">
      <c r="A142" s="69" t="s">
        <v>116</v>
      </c>
      <c r="B142" s="61">
        <v>0</v>
      </c>
      <c r="C142" s="61">
        <v>0</v>
      </c>
      <c r="D142" s="61">
        <v>0</v>
      </c>
      <c r="E142" s="61">
        <f t="shared" si="3"/>
        <v>0</v>
      </c>
      <c r="F142" s="61">
        <f t="shared" si="4"/>
        <v>0</v>
      </c>
      <c r="G142" s="63">
        <v>0</v>
      </c>
      <c r="H142" s="64"/>
      <c r="I142" s="18"/>
      <c r="J142" s="66"/>
      <c r="P142" s="4"/>
      <c r="Q142" s="3"/>
    </row>
    <row r="143" spans="1:17" ht="12" x14ac:dyDescent="0.2">
      <c r="A143" s="69" t="s">
        <v>117</v>
      </c>
      <c r="B143" s="61">
        <v>622024.80000000005</v>
      </c>
      <c r="C143" s="62">
        <v>55248.95</v>
      </c>
      <c r="D143" s="62">
        <v>30268.78</v>
      </c>
      <c r="E143" s="61">
        <f t="shared" si="3"/>
        <v>647004.97</v>
      </c>
      <c r="F143" s="61">
        <f t="shared" si="4"/>
        <v>24980.169999999925</v>
      </c>
      <c r="G143" s="63">
        <f t="shared" si="5"/>
        <v>4.0159443803526679E-2</v>
      </c>
      <c r="H143" s="64"/>
      <c r="I143" s="18"/>
      <c r="J143" s="95"/>
      <c r="P143" s="4"/>
      <c r="Q143" s="3"/>
    </row>
    <row r="144" spans="1:17" ht="12" x14ac:dyDescent="0.2">
      <c r="A144" s="56" t="s">
        <v>65</v>
      </c>
      <c r="B144" s="96">
        <f>SUM(B110:B143)</f>
        <v>14890639.130000003</v>
      </c>
      <c r="C144" s="96">
        <f>SUM(C110:C143)</f>
        <v>553692.97</v>
      </c>
      <c r="D144" s="57">
        <f>SUM(D110:D143)</f>
        <v>462422.81999999995</v>
      </c>
      <c r="E144" s="57">
        <f>SUM(E110:E143)</f>
        <v>14981909.279999999</v>
      </c>
      <c r="F144" s="96">
        <f>SUM(F110:F143)</f>
        <v>91270.149999999878</v>
      </c>
      <c r="G144" s="58">
        <f>F144/B144</f>
        <v>6.1293641732354477E-3</v>
      </c>
      <c r="H144" s="64"/>
      <c r="I144" s="18"/>
      <c r="J144" s="97"/>
      <c r="P144" s="4"/>
      <c r="Q144" s="3"/>
    </row>
    <row r="145" spans="1:17" ht="12.75" thickBot="1" x14ac:dyDescent="0.25">
      <c r="A145" s="56" t="s">
        <v>118</v>
      </c>
      <c r="B145" s="98">
        <f>B101+B108+B144</f>
        <v>63594056.869999997</v>
      </c>
      <c r="C145" s="98">
        <f>C101+C108+C144</f>
        <v>5812796.6900000004</v>
      </c>
      <c r="D145" s="98">
        <f>D101+D108+D144</f>
        <v>5400212.830000001</v>
      </c>
      <c r="E145" s="98">
        <f>E101+E108+E144</f>
        <v>64006640.729999997</v>
      </c>
      <c r="F145" s="98">
        <f>F101+F108+F144</f>
        <v>412583.85999999929</v>
      </c>
      <c r="G145" s="58">
        <f>F145/B145</f>
        <v>6.487773862947758E-3</v>
      </c>
      <c r="H145" s="64"/>
      <c r="I145" s="65"/>
      <c r="J145" s="99"/>
      <c r="P145" s="4"/>
      <c r="Q145" s="3"/>
    </row>
    <row r="146" spans="1:17" ht="12.75" thickTop="1" x14ac:dyDescent="0.2">
      <c r="A146" s="40"/>
      <c r="B146" s="100"/>
      <c r="C146" s="100"/>
      <c r="D146" s="40" t="s">
        <v>119</v>
      </c>
      <c r="E146" s="40"/>
      <c r="F146" s="100"/>
      <c r="G146" s="101"/>
      <c r="H146" s="102"/>
      <c r="I146" s="65"/>
      <c r="J146" s="103"/>
      <c r="K146" s="91"/>
    </row>
    <row r="147" spans="1:17" ht="12.75" thickBot="1" x14ac:dyDescent="0.25">
      <c r="A147" s="40"/>
      <c r="B147" s="100"/>
      <c r="C147" s="40" t="s">
        <v>120</v>
      </c>
      <c r="D147" s="40"/>
      <c r="E147" s="104">
        <f>ROUND(E145+E146,2)</f>
        <v>64006640.729999997</v>
      </c>
      <c r="F147" s="100"/>
      <c r="G147" s="71"/>
      <c r="H147" s="100"/>
      <c r="I147" s="105"/>
      <c r="J147" s="105"/>
    </row>
    <row r="148" spans="1:17" ht="12" thickTop="1" x14ac:dyDescent="0.2">
      <c r="B148" s="17"/>
      <c r="C148" s="17"/>
      <c r="F148" s="17"/>
      <c r="G148" s="28"/>
      <c r="H148" s="17"/>
      <c r="I148" s="26"/>
      <c r="J148" s="26"/>
    </row>
    <row r="149" spans="1:17" x14ac:dyDescent="0.2">
      <c r="B149" s="17"/>
      <c r="C149" s="17"/>
      <c r="F149" s="17"/>
      <c r="G149" s="28"/>
      <c r="H149" s="28"/>
      <c r="I149" s="26"/>
      <c r="J149" s="26"/>
    </row>
    <row r="150" spans="1:17" x14ac:dyDescent="0.2">
      <c r="B150" s="17"/>
      <c r="C150" s="17"/>
      <c r="F150" s="17"/>
      <c r="G150" s="28"/>
      <c r="H150" s="28"/>
      <c r="I150" s="26"/>
      <c r="J150" s="26"/>
    </row>
    <row r="151" spans="1:17" x14ac:dyDescent="0.2">
      <c r="B151" s="17"/>
      <c r="C151" s="17"/>
      <c r="F151" s="17"/>
      <c r="G151" s="28"/>
      <c r="H151" s="28"/>
      <c r="I151" s="26"/>
      <c r="J151" s="26"/>
    </row>
    <row r="152" spans="1:17" x14ac:dyDescent="0.2">
      <c r="B152" s="17"/>
      <c r="C152" s="17"/>
      <c r="F152" s="17"/>
      <c r="G152" s="28"/>
      <c r="H152" s="28"/>
      <c r="I152" s="26"/>
      <c r="J152" s="26"/>
    </row>
    <row r="153" spans="1:17" x14ac:dyDescent="0.2">
      <c r="B153" s="17"/>
      <c r="C153" s="17"/>
      <c r="F153" s="17"/>
      <c r="G153" s="28"/>
      <c r="H153" s="28"/>
      <c r="I153" s="26"/>
      <c r="J153" s="26"/>
    </row>
    <row r="154" spans="1:17" x14ac:dyDescent="0.2">
      <c r="B154" s="17"/>
      <c r="C154" s="17"/>
      <c r="F154" s="17"/>
      <c r="G154" s="28"/>
      <c r="H154" s="28"/>
      <c r="I154" s="26"/>
      <c r="J154" s="26"/>
    </row>
    <row r="155" spans="1:17" x14ac:dyDescent="0.2">
      <c r="B155" s="17"/>
      <c r="C155" s="17"/>
      <c r="F155" s="17"/>
      <c r="G155" s="28"/>
      <c r="H155" s="28"/>
      <c r="I155" s="26"/>
      <c r="J155" s="26"/>
    </row>
    <row r="156" spans="1:17" x14ac:dyDescent="0.2">
      <c r="B156" s="17"/>
      <c r="C156" s="17"/>
      <c r="F156" s="17"/>
      <c r="G156" s="28"/>
      <c r="H156" s="28"/>
      <c r="I156" s="28"/>
      <c r="J156" s="28"/>
    </row>
    <row r="157" spans="1:17" x14ac:dyDescent="0.2">
      <c r="B157" s="17"/>
      <c r="C157" s="17"/>
      <c r="F157" s="17"/>
      <c r="G157" s="28"/>
      <c r="H157" s="28"/>
      <c r="I157" s="28"/>
      <c r="J157" s="28"/>
    </row>
    <row r="158" spans="1:17" x14ac:dyDescent="0.2">
      <c r="B158" s="17"/>
      <c r="C158" s="17"/>
      <c r="F158" s="17"/>
      <c r="G158" s="28"/>
      <c r="H158" s="28"/>
      <c r="I158" s="28"/>
      <c r="J158" s="28"/>
    </row>
    <row r="159" spans="1:17" x14ac:dyDescent="0.2">
      <c r="B159" s="17"/>
      <c r="C159" s="17"/>
      <c r="F159" s="17"/>
      <c r="G159" s="28"/>
      <c r="H159" s="28"/>
      <c r="I159" s="28"/>
      <c r="J159" s="28"/>
    </row>
    <row r="160" spans="1:17" x14ac:dyDescent="0.2">
      <c r="B160" s="17"/>
      <c r="C160" s="17"/>
      <c r="F160" s="17"/>
      <c r="G160" s="28"/>
      <c r="H160" s="28"/>
      <c r="I160" s="28"/>
      <c r="J160" s="28"/>
    </row>
    <row r="161" spans="1:13" x14ac:dyDescent="0.2">
      <c r="B161" s="17"/>
      <c r="C161" s="17"/>
      <c r="F161" s="17"/>
      <c r="G161" s="28"/>
      <c r="H161" s="28"/>
      <c r="I161" s="28"/>
      <c r="J161" s="28"/>
    </row>
    <row r="162" spans="1:13" x14ac:dyDescent="0.2">
      <c r="B162" s="17"/>
      <c r="C162" s="17"/>
      <c r="F162" s="17"/>
      <c r="G162" s="28"/>
      <c r="H162" s="28"/>
      <c r="I162" s="28"/>
      <c r="J162" s="28"/>
    </row>
    <row r="163" spans="1:13" x14ac:dyDescent="0.2">
      <c r="B163" s="17"/>
      <c r="C163" s="17"/>
      <c r="F163" s="17"/>
      <c r="G163" s="28"/>
      <c r="H163" s="28"/>
      <c r="I163" s="28"/>
      <c r="J163" s="28"/>
    </row>
    <row r="164" spans="1:13" x14ac:dyDescent="0.2">
      <c r="B164" s="17"/>
      <c r="C164" s="17"/>
      <c r="F164" s="17"/>
      <c r="G164" s="28"/>
      <c r="H164" s="28"/>
      <c r="I164" s="28"/>
      <c r="J164" s="28"/>
    </row>
    <row r="165" spans="1:13" x14ac:dyDescent="0.2">
      <c r="B165" s="17"/>
      <c r="C165" s="17"/>
      <c r="F165" s="17"/>
      <c r="G165" s="28"/>
      <c r="H165" s="28"/>
      <c r="I165" s="28"/>
      <c r="J165" s="28"/>
    </row>
    <row r="166" spans="1:13" x14ac:dyDescent="0.2">
      <c r="B166" s="17"/>
      <c r="C166" s="17"/>
      <c r="F166" s="17"/>
      <c r="G166" s="28"/>
      <c r="H166" s="28"/>
      <c r="I166" s="28"/>
      <c r="J166" s="28"/>
    </row>
    <row r="167" spans="1:13" x14ac:dyDescent="0.2">
      <c r="B167" s="17"/>
      <c r="C167" s="17"/>
      <c r="F167" s="17"/>
      <c r="G167" s="28"/>
      <c r="H167" s="28"/>
      <c r="I167" s="28"/>
      <c r="J167" s="28"/>
    </row>
    <row r="168" spans="1:13" x14ac:dyDescent="0.2">
      <c r="A168" s="1" t="s">
        <v>0</v>
      </c>
      <c r="B168" s="1"/>
      <c r="C168" s="1"/>
      <c r="D168" s="1"/>
      <c r="E168" s="1"/>
      <c r="F168" s="1"/>
      <c r="G168" s="1"/>
      <c r="H168" s="1"/>
      <c r="I168" s="1"/>
      <c r="J168" s="1"/>
      <c r="K168" s="2"/>
    </row>
    <row r="169" spans="1:13" x14ac:dyDescent="0.2">
      <c r="A169" s="1" t="s">
        <v>1</v>
      </c>
      <c r="B169" s="1"/>
      <c r="C169" s="1"/>
      <c r="D169" s="1"/>
      <c r="E169" s="1"/>
      <c r="F169" s="1"/>
      <c r="G169" s="1"/>
      <c r="H169" s="1"/>
      <c r="I169" s="1"/>
      <c r="J169" s="1"/>
      <c r="K169" s="2"/>
    </row>
    <row r="170" spans="1:13" ht="12" customHeight="1" x14ac:dyDescent="0.2">
      <c r="A170" s="106" t="s">
        <v>42</v>
      </c>
      <c r="B170" s="106"/>
      <c r="C170" s="106"/>
      <c r="D170" s="106"/>
      <c r="E170" s="106"/>
      <c r="F170" s="106"/>
      <c r="G170" s="106"/>
      <c r="H170" s="106"/>
      <c r="I170" s="106"/>
      <c r="J170" s="106"/>
      <c r="K170" s="6"/>
    </row>
    <row r="171" spans="1:13" x14ac:dyDescent="0.2">
      <c r="A171" s="107"/>
      <c r="B171" s="8"/>
      <c r="C171" s="8"/>
      <c r="D171" s="8"/>
      <c r="E171" s="8"/>
      <c r="F171" s="108"/>
      <c r="G171" s="108"/>
      <c r="H171" s="108"/>
      <c r="I171" s="108"/>
      <c r="J171" s="108"/>
      <c r="K171" s="108"/>
    </row>
    <row r="172" spans="1:13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</row>
    <row r="173" spans="1:13" x14ac:dyDescent="0.2">
      <c r="A173" s="11"/>
      <c r="B173" s="12" t="s">
        <v>75</v>
      </c>
      <c r="C173" s="12"/>
      <c r="D173" s="12" t="s">
        <v>121</v>
      </c>
      <c r="E173" s="12"/>
      <c r="F173" s="12" t="s">
        <v>122</v>
      </c>
      <c r="G173" s="12" t="s">
        <v>76</v>
      </c>
      <c r="H173" s="12" t="s">
        <v>123</v>
      </c>
      <c r="I173" s="12" t="s">
        <v>124</v>
      </c>
      <c r="J173" s="12"/>
      <c r="K173" s="12"/>
    </row>
    <row r="174" spans="1:13" ht="12" thickBot="1" x14ac:dyDescent="0.25">
      <c r="A174" s="83" t="s">
        <v>81</v>
      </c>
      <c r="B174" s="83" t="s">
        <v>81</v>
      </c>
      <c r="C174" s="83" t="s">
        <v>125</v>
      </c>
      <c r="D174" s="83" t="s">
        <v>126</v>
      </c>
      <c r="E174" s="83" t="s">
        <v>127</v>
      </c>
      <c r="F174" s="83" t="s">
        <v>126</v>
      </c>
      <c r="G174" s="83" t="s">
        <v>82</v>
      </c>
      <c r="H174" s="83" t="s">
        <v>128</v>
      </c>
      <c r="I174" s="83" t="s">
        <v>82</v>
      </c>
      <c r="J174" s="83" t="s">
        <v>129</v>
      </c>
      <c r="L174" s="23" t="s">
        <v>130</v>
      </c>
      <c r="M174" s="23" t="s">
        <v>131</v>
      </c>
    </row>
    <row r="175" spans="1:13" x14ac:dyDescent="0.2">
      <c r="A175" s="84"/>
      <c r="B175" s="85"/>
      <c r="C175" s="85"/>
      <c r="D175" s="29"/>
      <c r="E175" s="109"/>
      <c r="F175" s="29"/>
      <c r="G175" s="86"/>
      <c r="H175" s="109"/>
      <c r="I175" s="86"/>
      <c r="J175" s="110"/>
      <c r="L175" s="111"/>
      <c r="M175" s="111"/>
    </row>
    <row r="176" spans="1:13" x14ac:dyDescent="0.2">
      <c r="A176" s="84" t="s">
        <v>86</v>
      </c>
      <c r="B176" s="85" t="s">
        <v>87</v>
      </c>
      <c r="C176" s="85"/>
      <c r="D176" s="29" t="s">
        <v>132</v>
      </c>
      <c r="E176" s="109" t="s">
        <v>132</v>
      </c>
      <c r="F176" s="29" t="s">
        <v>133</v>
      </c>
      <c r="G176" s="86">
        <f>I176</f>
        <v>5324765.0100000016</v>
      </c>
      <c r="H176" s="109" t="s">
        <v>132</v>
      </c>
      <c r="I176" s="86">
        <f>B16</f>
        <v>5324765.0100000016</v>
      </c>
      <c r="J176" s="110">
        <v>0</v>
      </c>
      <c r="L176" s="111">
        <f>I176/I$268</f>
        <v>8.3190821804535131E-2</v>
      </c>
      <c r="M176" s="112">
        <f>L176*J176</f>
        <v>0</v>
      </c>
    </row>
    <row r="177" spans="1:13" x14ac:dyDescent="0.2">
      <c r="A177" s="84"/>
      <c r="B177" s="85"/>
      <c r="C177" s="85"/>
      <c r="D177" s="29"/>
      <c r="E177" s="109"/>
      <c r="F177" s="29"/>
      <c r="G177" s="86"/>
      <c r="H177" s="109"/>
      <c r="I177" s="86"/>
      <c r="J177" s="110"/>
      <c r="L177" s="111"/>
      <c r="M177" s="112"/>
    </row>
    <row r="178" spans="1:13" x14ac:dyDescent="0.2">
      <c r="A178" s="84" t="s">
        <v>86</v>
      </c>
      <c r="B178" s="85" t="s">
        <v>6</v>
      </c>
      <c r="C178" s="85"/>
      <c r="D178" s="29" t="s">
        <v>132</v>
      </c>
      <c r="E178" s="109" t="s">
        <v>132</v>
      </c>
      <c r="F178" s="29" t="s">
        <v>133</v>
      </c>
      <c r="G178" s="86">
        <f>I178</f>
        <v>0</v>
      </c>
      <c r="H178" s="109" t="s">
        <v>132</v>
      </c>
      <c r="I178" s="86">
        <f>C16</f>
        <v>0</v>
      </c>
      <c r="J178" s="110">
        <v>2.5000000000000001E-3</v>
      </c>
      <c r="L178" s="111">
        <f>I178/I$268</f>
        <v>0</v>
      </c>
      <c r="M178" s="112">
        <f>L178*J178</f>
        <v>0</v>
      </c>
    </row>
    <row r="179" spans="1:13" x14ac:dyDescent="0.2">
      <c r="A179" s="84"/>
      <c r="B179" s="85"/>
      <c r="C179" s="85"/>
      <c r="D179" s="29"/>
      <c r="E179" s="109"/>
      <c r="F179" s="29"/>
      <c r="G179" s="86"/>
      <c r="H179" s="109"/>
      <c r="I179" s="86"/>
      <c r="J179" s="110"/>
      <c r="L179" s="111"/>
      <c r="M179" s="112"/>
    </row>
    <row r="180" spans="1:13" x14ac:dyDescent="0.2">
      <c r="A180" s="84" t="s">
        <v>134</v>
      </c>
      <c r="B180" s="29" t="s">
        <v>132</v>
      </c>
      <c r="C180" s="29"/>
      <c r="D180" s="29" t="s">
        <v>132</v>
      </c>
      <c r="E180" s="109" t="s">
        <v>132</v>
      </c>
      <c r="F180" s="29" t="s">
        <v>133</v>
      </c>
      <c r="G180" s="86">
        <f>I180</f>
        <v>5000</v>
      </c>
      <c r="H180" s="109" t="s">
        <v>132</v>
      </c>
      <c r="I180" s="86">
        <f>D16</f>
        <v>5000</v>
      </c>
      <c r="J180" s="110">
        <v>0</v>
      </c>
      <c r="L180" s="111">
        <f>I180/I$268</f>
        <v>7.811689496935669E-5</v>
      </c>
      <c r="M180" s="112">
        <f>L180*J180</f>
        <v>0</v>
      </c>
    </row>
    <row r="181" spans="1:13" x14ac:dyDescent="0.2">
      <c r="A181" s="84"/>
      <c r="B181" s="29"/>
      <c r="C181" s="29"/>
      <c r="D181" s="29"/>
      <c r="E181" s="109"/>
      <c r="F181" s="29"/>
      <c r="G181" s="86"/>
      <c r="H181" s="109"/>
      <c r="I181" s="86"/>
      <c r="J181" s="110"/>
      <c r="L181" s="111"/>
      <c r="M181" s="112"/>
    </row>
    <row r="182" spans="1:13" x14ac:dyDescent="0.2">
      <c r="A182" s="84" t="s">
        <v>91</v>
      </c>
      <c r="B182" s="85" t="s">
        <v>135</v>
      </c>
      <c r="C182" s="85"/>
      <c r="D182" s="29" t="s">
        <v>132</v>
      </c>
      <c r="E182" s="109" t="s">
        <v>132</v>
      </c>
      <c r="F182" s="29" t="s">
        <v>133</v>
      </c>
      <c r="G182" s="86">
        <f>I182</f>
        <v>31259265.489999995</v>
      </c>
      <c r="H182" s="109" t="s">
        <v>132</v>
      </c>
      <c r="I182" s="86">
        <f>E16</f>
        <v>31259265.489999995</v>
      </c>
      <c r="J182" s="110">
        <v>2.4279999999999999E-2</v>
      </c>
      <c r="L182" s="111">
        <f>I182/I$268</f>
        <v>0.48837535182031316</v>
      </c>
      <c r="M182" s="112">
        <f>L182*J182</f>
        <v>1.1857753542197204E-2</v>
      </c>
    </row>
    <row r="183" spans="1:13" x14ac:dyDescent="0.2">
      <c r="A183" s="84" t="s">
        <v>136</v>
      </c>
      <c r="B183" s="85"/>
      <c r="C183" s="85"/>
      <c r="D183" s="29"/>
      <c r="E183" s="109"/>
      <c r="F183" s="29"/>
      <c r="G183" s="86"/>
      <c r="H183" s="109"/>
      <c r="I183" s="86"/>
      <c r="J183" s="110"/>
      <c r="L183" s="111"/>
      <c r="M183" s="112"/>
    </row>
    <row r="184" spans="1:13" x14ac:dyDescent="0.2">
      <c r="A184" s="84" t="s">
        <v>137</v>
      </c>
      <c r="B184" s="85" t="s">
        <v>6</v>
      </c>
      <c r="C184" s="85"/>
      <c r="D184" s="113">
        <v>43154</v>
      </c>
      <c r="E184" s="29" t="s">
        <v>138</v>
      </c>
      <c r="F184" s="113">
        <v>43884</v>
      </c>
      <c r="G184" s="86">
        <f>I184</f>
        <v>250000</v>
      </c>
      <c r="H184" s="109"/>
      <c r="I184" s="86">
        <v>250000</v>
      </c>
      <c r="J184" s="110">
        <v>1.7500000000000002E-2</v>
      </c>
      <c r="L184" s="111">
        <f>I184/I$268</f>
        <v>3.9058447484678345E-3</v>
      </c>
      <c r="M184" s="112">
        <f>L184*J184</f>
        <v>6.8352283098187103E-5</v>
      </c>
    </row>
    <row r="185" spans="1:13" x14ac:dyDescent="0.2">
      <c r="A185" s="84"/>
      <c r="B185" s="85"/>
      <c r="C185" s="85"/>
      <c r="D185" s="113"/>
      <c r="E185" s="29"/>
      <c r="F185" s="113"/>
      <c r="G185" s="86"/>
      <c r="H185" s="109"/>
      <c r="I185" s="86"/>
      <c r="J185" s="110"/>
      <c r="L185" s="111"/>
      <c r="M185" s="112"/>
    </row>
    <row r="186" spans="1:13" x14ac:dyDescent="0.2">
      <c r="A186" s="84" t="s">
        <v>137</v>
      </c>
      <c r="B186" s="85" t="s">
        <v>6</v>
      </c>
      <c r="C186" s="85"/>
      <c r="D186" s="113">
        <v>43154</v>
      </c>
      <c r="E186" s="29" t="s">
        <v>138</v>
      </c>
      <c r="F186" s="113">
        <v>43884</v>
      </c>
      <c r="G186" s="86">
        <f>I186</f>
        <v>3899553.75</v>
      </c>
      <c r="H186" s="109"/>
      <c r="I186" s="86">
        <f>4149553.75-I184</f>
        <v>3899553.75</v>
      </c>
      <c r="J186" s="110">
        <v>1.6E-2</v>
      </c>
      <c r="L186" s="111">
        <f>I186/I$268</f>
        <v>6.0924206143222207E-2</v>
      </c>
      <c r="M186" s="112">
        <f>L186*J186</f>
        <v>9.7478729829155537E-4</v>
      </c>
    </row>
    <row r="187" spans="1:13" x14ac:dyDescent="0.2">
      <c r="A187" s="84"/>
      <c r="B187" s="85"/>
      <c r="C187" s="85"/>
      <c r="D187" s="29"/>
      <c r="E187" s="29"/>
      <c r="F187" s="29"/>
      <c r="G187" s="86"/>
      <c r="H187" s="86"/>
      <c r="I187" s="86"/>
      <c r="J187" s="29"/>
      <c r="L187" s="23"/>
      <c r="M187" s="114"/>
    </row>
    <row r="188" spans="1:13" ht="22.5" x14ac:dyDescent="0.2">
      <c r="A188" s="115" t="s">
        <v>139</v>
      </c>
      <c r="B188" s="116" t="s">
        <v>140</v>
      </c>
      <c r="C188" s="117" t="s">
        <v>141</v>
      </c>
      <c r="D188" s="118">
        <v>42541</v>
      </c>
      <c r="E188" s="47" t="s">
        <v>142</v>
      </c>
      <c r="F188" s="118">
        <v>43725</v>
      </c>
      <c r="G188" s="119">
        <v>250000</v>
      </c>
      <c r="H188" s="119"/>
      <c r="I188" s="119">
        <v>250000</v>
      </c>
      <c r="J188" s="120">
        <v>1.2500000000000001E-2</v>
      </c>
      <c r="L188" s="111">
        <f t="shared" ref="L188:L251" si="8">I188/I$268</f>
        <v>3.9058447484678345E-3</v>
      </c>
      <c r="M188" s="112">
        <f t="shared" ref="M188:M251" si="9">L188*J188</f>
        <v>4.8823059355847931E-5</v>
      </c>
    </row>
    <row r="189" spans="1:13" ht="22.5" x14ac:dyDescent="0.2">
      <c r="A189" s="15"/>
      <c r="B189" s="116" t="s">
        <v>143</v>
      </c>
      <c r="C189" s="117" t="s">
        <v>144</v>
      </c>
      <c r="D189" s="118">
        <v>43042</v>
      </c>
      <c r="E189" s="47" t="s">
        <v>145</v>
      </c>
      <c r="F189" s="118">
        <v>44868</v>
      </c>
      <c r="G189" s="119">
        <v>250000</v>
      </c>
      <c r="H189" s="119"/>
      <c r="I189" s="119">
        <v>250000</v>
      </c>
      <c r="J189" s="120">
        <v>2.1999999999999999E-2</v>
      </c>
      <c r="L189" s="111">
        <f t="shared" si="8"/>
        <v>3.9058447484678345E-3</v>
      </c>
      <c r="M189" s="112">
        <f t="shared" si="9"/>
        <v>8.5928584466292348E-5</v>
      </c>
    </row>
    <row r="190" spans="1:13" ht="22.5" x14ac:dyDescent="0.2">
      <c r="A190" s="15"/>
      <c r="B190" s="116" t="s">
        <v>146</v>
      </c>
      <c r="C190" s="117" t="s">
        <v>147</v>
      </c>
      <c r="D190" s="118">
        <v>43088</v>
      </c>
      <c r="E190" s="47" t="s">
        <v>148</v>
      </c>
      <c r="F190" s="118">
        <v>44550</v>
      </c>
      <c r="G190" s="119">
        <v>250000</v>
      </c>
      <c r="H190" s="119"/>
      <c r="I190" s="119">
        <v>250000</v>
      </c>
      <c r="J190" s="120">
        <v>2.1999999999999999E-2</v>
      </c>
      <c r="L190" s="111">
        <f t="shared" si="8"/>
        <v>3.9058447484678345E-3</v>
      </c>
      <c r="M190" s="112">
        <f t="shared" si="9"/>
        <v>8.5928584466292348E-5</v>
      </c>
    </row>
    <row r="191" spans="1:13" ht="22.5" x14ac:dyDescent="0.2">
      <c r="A191" s="15"/>
      <c r="B191" s="116" t="s">
        <v>149</v>
      </c>
      <c r="C191" s="117" t="s">
        <v>150</v>
      </c>
      <c r="D191" s="118">
        <v>42815</v>
      </c>
      <c r="E191" s="47" t="s">
        <v>145</v>
      </c>
      <c r="F191" s="118">
        <v>44656</v>
      </c>
      <c r="G191" s="119">
        <v>250000</v>
      </c>
      <c r="H191" s="119"/>
      <c r="I191" s="119">
        <v>250000</v>
      </c>
      <c r="J191" s="120">
        <v>2.4500000000000001E-2</v>
      </c>
      <c r="L191" s="111">
        <f t="shared" si="8"/>
        <v>3.9058447484678345E-3</v>
      </c>
      <c r="M191" s="112">
        <f t="shared" si="9"/>
        <v>9.5693196337461947E-5</v>
      </c>
    </row>
    <row r="192" spans="1:13" ht="22.5" x14ac:dyDescent="0.2">
      <c r="A192" s="15"/>
      <c r="B192" s="116" t="s">
        <v>151</v>
      </c>
      <c r="C192" s="117" t="s">
        <v>152</v>
      </c>
      <c r="D192" s="118">
        <v>42664</v>
      </c>
      <c r="E192" s="47" t="s">
        <v>153</v>
      </c>
      <c r="F192" s="118">
        <v>43759</v>
      </c>
      <c r="G192" s="119">
        <v>250000</v>
      </c>
      <c r="H192" s="119"/>
      <c r="I192" s="119">
        <v>250000</v>
      </c>
      <c r="J192" s="120">
        <v>1.2E-2</v>
      </c>
      <c r="L192" s="111">
        <f t="shared" si="8"/>
        <v>3.9058447484678345E-3</v>
      </c>
      <c r="M192" s="112">
        <f t="shared" si="9"/>
        <v>4.6870136981614016E-5</v>
      </c>
    </row>
    <row r="193" spans="1:13" ht="22.5" x14ac:dyDescent="0.2">
      <c r="A193" s="15"/>
      <c r="B193" s="116" t="s">
        <v>154</v>
      </c>
      <c r="C193" s="117" t="s">
        <v>155</v>
      </c>
      <c r="D193" s="118">
        <v>43089</v>
      </c>
      <c r="E193" s="47" t="s">
        <v>148</v>
      </c>
      <c r="F193" s="118">
        <v>44550</v>
      </c>
      <c r="G193" s="119">
        <v>250000</v>
      </c>
      <c r="H193" s="119"/>
      <c r="I193" s="119">
        <v>250000</v>
      </c>
      <c r="J193" s="120">
        <v>2.1499999999999998E-2</v>
      </c>
      <c r="L193" s="111">
        <f t="shared" si="8"/>
        <v>3.9058447484678345E-3</v>
      </c>
      <c r="M193" s="112">
        <f t="shared" si="9"/>
        <v>8.3975662092058433E-5</v>
      </c>
    </row>
    <row r="194" spans="1:13" ht="22.5" x14ac:dyDescent="0.2">
      <c r="A194" s="15"/>
      <c r="B194" s="116" t="s">
        <v>156</v>
      </c>
      <c r="C194" s="117" t="s">
        <v>157</v>
      </c>
      <c r="D194" s="118">
        <v>42627</v>
      </c>
      <c r="E194" s="47" t="s">
        <v>153</v>
      </c>
      <c r="F194" s="118">
        <v>43721</v>
      </c>
      <c r="G194" s="119">
        <v>250000</v>
      </c>
      <c r="H194" s="119"/>
      <c r="I194" s="119">
        <v>250000</v>
      </c>
      <c r="J194" s="120">
        <v>1.15E-2</v>
      </c>
      <c r="L194" s="111">
        <f t="shared" si="8"/>
        <v>3.9058447484678345E-3</v>
      </c>
      <c r="M194" s="112">
        <f t="shared" si="9"/>
        <v>4.4917214607380095E-5</v>
      </c>
    </row>
    <row r="195" spans="1:13" ht="22.5" x14ac:dyDescent="0.2">
      <c r="A195" s="15"/>
      <c r="B195" s="116" t="s">
        <v>158</v>
      </c>
      <c r="C195" s="117" t="s">
        <v>159</v>
      </c>
      <c r="D195" s="118">
        <v>43644</v>
      </c>
      <c r="E195" s="29" t="s">
        <v>138</v>
      </c>
      <c r="F195" s="118">
        <v>44375</v>
      </c>
      <c r="G195" s="119">
        <v>250000</v>
      </c>
      <c r="H195" s="119"/>
      <c r="I195" s="119">
        <v>250000</v>
      </c>
      <c r="J195" s="120">
        <v>2.1000000000000001E-2</v>
      </c>
      <c r="L195" s="111">
        <f t="shared" si="8"/>
        <v>3.9058447484678345E-3</v>
      </c>
      <c r="M195" s="112">
        <f t="shared" si="9"/>
        <v>8.2022739717824532E-5</v>
      </c>
    </row>
    <row r="196" spans="1:13" ht="22.5" x14ac:dyDescent="0.2">
      <c r="A196" s="15"/>
      <c r="B196" s="116" t="s">
        <v>160</v>
      </c>
      <c r="C196" s="117" t="s">
        <v>161</v>
      </c>
      <c r="D196" s="118">
        <v>42928</v>
      </c>
      <c r="E196" s="47" t="s">
        <v>145</v>
      </c>
      <c r="F196" s="118">
        <v>44754</v>
      </c>
      <c r="G196" s="119">
        <v>250000</v>
      </c>
      <c r="H196" s="119"/>
      <c r="I196" s="119">
        <v>250000</v>
      </c>
      <c r="J196" s="120">
        <v>2.1999999999999999E-2</v>
      </c>
      <c r="L196" s="111">
        <f t="shared" si="8"/>
        <v>3.9058447484678345E-3</v>
      </c>
      <c r="M196" s="112">
        <f t="shared" si="9"/>
        <v>8.5928584466292348E-5</v>
      </c>
    </row>
    <row r="197" spans="1:13" x14ac:dyDescent="0.2">
      <c r="A197" s="15"/>
      <c r="B197" s="116" t="s">
        <v>162</v>
      </c>
      <c r="C197" s="117" t="s">
        <v>163</v>
      </c>
      <c r="D197" s="118">
        <v>42650</v>
      </c>
      <c r="E197" s="47" t="s">
        <v>148</v>
      </c>
      <c r="F197" s="118">
        <v>44111</v>
      </c>
      <c r="G197" s="119">
        <v>250000</v>
      </c>
      <c r="H197" s="119"/>
      <c r="I197" s="119">
        <v>250000</v>
      </c>
      <c r="J197" s="120">
        <v>1.35E-2</v>
      </c>
      <c r="L197" s="111">
        <f t="shared" si="8"/>
        <v>3.9058447484678345E-3</v>
      </c>
      <c r="M197" s="112">
        <f t="shared" si="9"/>
        <v>5.2728904104315767E-5</v>
      </c>
    </row>
    <row r="198" spans="1:13" ht="22.5" x14ac:dyDescent="0.2">
      <c r="A198" s="15"/>
      <c r="B198" s="116" t="s">
        <v>164</v>
      </c>
      <c r="C198" s="117" t="s">
        <v>165</v>
      </c>
      <c r="D198" s="118">
        <v>42935</v>
      </c>
      <c r="E198" s="47" t="s">
        <v>145</v>
      </c>
      <c r="F198" s="118">
        <v>44761</v>
      </c>
      <c r="G198" s="119">
        <v>250000</v>
      </c>
      <c r="H198" s="119"/>
      <c r="I198" s="119">
        <v>250000</v>
      </c>
      <c r="J198" s="120">
        <v>2.0500000000000001E-2</v>
      </c>
      <c r="L198" s="111">
        <f t="shared" si="8"/>
        <v>3.9058447484678345E-3</v>
      </c>
      <c r="M198" s="112">
        <f t="shared" si="9"/>
        <v>8.0069817343590604E-5</v>
      </c>
    </row>
    <row r="199" spans="1:13" ht="22.5" x14ac:dyDescent="0.2">
      <c r="A199" s="15"/>
      <c r="B199" s="116" t="s">
        <v>166</v>
      </c>
      <c r="C199" s="117" t="s">
        <v>167</v>
      </c>
      <c r="D199" s="118">
        <v>42601</v>
      </c>
      <c r="E199" s="47" t="s">
        <v>153</v>
      </c>
      <c r="F199" s="118">
        <v>43696</v>
      </c>
      <c r="G199" s="119">
        <v>250000</v>
      </c>
      <c r="H199" s="119"/>
      <c r="I199" s="119">
        <v>250000</v>
      </c>
      <c r="J199" s="120">
        <v>0.01</v>
      </c>
      <c r="L199" s="111">
        <f t="shared" si="8"/>
        <v>3.9058447484678345E-3</v>
      </c>
      <c r="M199" s="112">
        <f t="shared" si="9"/>
        <v>3.9058447484678345E-5</v>
      </c>
    </row>
    <row r="200" spans="1:13" ht="22.5" x14ac:dyDescent="0.2">
      <c r="A200" s="15"/>
      <c r="B200" s="116" t="s">
        <v>168</v>
      </c>
      <c r="C200" s="117" t="s">
        <v>169</v>
      </c>
      <c r="D200" s="118">
        <v>42543</v>
      </c>
      <c r="E200" s="47" t="s">
        <v>142</v>
      </c>
      <c r="F200" s="118">
        <v>43731</v>
      </c>
      <c r="G200" s="119">
        <v>250000</v>
      </c>
      <c r="H200" s="119"/>
      <c r="I200" s="119">
        <v>250000</v>
      </c>
      <c r="J200" s="120">
        <v>1.2E-2</v>
      </c>
      <c r="L200" s="111">
        <f t="shared" si="8"/>
        <v>3.9058447484678345E-3</v>
      </c>
      <c r="M200" s="112">
        <f t="shared" si="9"/>
        <v>4.6870136981614016E-5</v>
      </c>
    </row>
    <row r="201" spans="1:13" x14ac:dyDescent="0.2">
      <c r="A201" s="15"/>
      <c r="B201" s="116" t="s">
        <v>170</v>
      </c>
      <c r="C201" s="117" t="s">
        <v>171</v>
      </c>
      <c r="D201" s="118">
        <v>42656</v>
      </c>
      <c r="E201" s="47" t="s">
        <v>148</v>
      </c>
      <c r="F201" s="118">
        <v>44117</v>
      </c>
      <c r="G201" s="119">
        <v>250000</v>
      </c>
      <c r="H201" s="119"/>
      <c r="I201" s="119">
        <v>250000</v>
      </c>
      <c r="J201" s="120">
        <v>1.4E-2</v>
      </c>
      <c r="L201" s="111">
        <f t="shared" si="8"/>
        <v>3.9058447484678345E-3</v>
      </c>
      <c r="M201" s="112">
        <f t="shared" si="9"/>
        <v>5.4681826478549681E-5</v>
      </c>
    </row>
    <row r="202" spans="1:13" ht="22.5" x14ac:dyDescent="0.2">
      <c r="A202" s="15"/>
      <c r="B202" s="116" t="s">
        <v>172</v>
      </c>
      <c r="C202" s="117" t="s">
        <v>173</v>
      </c>
      <c r="D202" s="118">
        <v>42594</v>
      </c>
      <c r="E202" s="47" t="s">
        <v>153</v>
      </c>
      <c r="F202" s="118">
        <v>43689</v>
      </c>
      <c r="G202" s="119">
        <v>250000</v>
      </c>
      <c r="H202" s="119"/>
      <c r="I202" s="119">
        <v>250000</v>
      </c>
      <c r="J202" s="120">
        <v>0.01</v>
      </c>
      <c r="L202" s="111">
        <f t="shared" si="8"/>
        <v>3.9058447484678345E-3</v>
      </c>
      <c r="M202" s="112">
        <f t="shared" si="9"/>
        <v>3.9058447484678345E-5</v>
      </c>
    </row>
    <row r="203" spans="1:13" ht="22.5" x14ac:dyDescent="0.2">
      <c r="A203" s="15"/>
      <c r="B203" s="116" t="s">
        <v>174</v>
      </c>
      <c r="C203" s="117" t="s">
        <v>175</v>
      </c>
      <c r="D203" s="118">
        <v>42563</v>
      </c>
      <c r="E203" s="47" t="s">
        <v>153</v>
      </c>
      <c r="F203" s="118">
        <v>43658</v>
      </c>
      <c r="G203" s="119">
        <v>250000</v>
      </c>
      <c r="H203" s="119"/>
      <c r="I203" s="119">
        <v>250000</v>
      </c>
      <c r="J203" s="120">
        <v>1.0500000000000001E-2</v>
      </c>
      <c r="L203" s="111">
        <f t="shared" si="8"/>
        <v>3.9058447484678345E-3</v>
      </c>
      <c r="M203" s="112">
        <f t="shared" si="9"/>
        <v>4.1011369858912266E-5</v>
      </c>
    </row>
    <row r="204" spans="1:13" x14ac:dyDescent="0.2">
      <c r="A204" s="15"/>
      <c r="B204" s="121" t="s">
        <v>176</v>
      </c>
      <c r="C204" s="117" t="s">
        <v>177</v>
      </c>
      <c r="D204" s="118">
        <v>43154</v>
      </c>
      <c r="E204" s="47" t="s">
        <v>153</v>
      </c>
      <c r="F204" s="118">
        <v>44431</v>
      </c>
      <c r="G204" s="119">
        <v>250000</v>
      </c>
      <c r="H204" s="119"/>
      <c r="I204" s="119">
        <v>250000</v>
      </c>
      <c r="J204" s="120">
        <v>2.3E-2</v>
      </c>
      <c r="L204" s="111">
        <f t="shared" si="8"/>
        <v>3.9058447484678345E-3</v>
      </c>
      <c r="M204" s="112">
        <f t="shared" si="9"/>
        <v>8.983442921476019E-5</v>
      </c>
    </row>
    <row r="205" spans="1:13" x14ac:dyDescent="0.2">
      <c r="A205" s="15"/>
      <c r="B205" s="116" t="s">
        <v>178</v>
      </c>
      <c r="C205" s="117" t="s">
        <v>179</v>
      </c>
      <c r="D205" s="118">
        <v>42895</v>
      </c>
      <c r="E205" s="47" t="s">
        <v>145</v>
      </c>
      <c r="F205" s="118">
        <v>44721</v>
      </c>
      <c r="G205" s="119">
        <v>250000</v>
      </c>
      <c r="H205" s="119"/>
      <c r="I205" s="119">
        <v>250000</v>
      </c>
      <c r="J205" s="120">
        <v>2.0500000000000001E-2</v>
      </c>
      <c r="L205" s="111">
        <f t="shared" si="8"/>
        <v>3.9058447484678345E-3</v>
      </c>
      <c r="M205" s="112">
        <f t="shared" si="9"/>
        <v>8.0069817343590604E-5</v>
      </c>
    </row>
    <row r="206" spans="1:13" ht="22.5" x14ac:dyDescent="0.2">
      <c r="A206" s="15"/>
      <c r="B206" s="116" t="s">
        <v>180</v>
      </c>
      <c r="C206" s="117" t="s">
        <v>181</v>
      </c>
      <c r="D206" s="118">
        <v>42755</v>
      </c>
      <c r="E206" s="47" t="s">
        <v>145</v>
      </c>
      <c r="F206" s="118">
        <v>44581</v>
      </c>
      <c r="G206" s="119">
        <v>250000</v>
      </c>
      <c r="H206" s="119"/>
      <c r="I206" s="119">
        <v>250000</v>
      </c>
      <c r="J206" s="120">
        <v>0.02</v>
      </c>
      <c r="L206" s="111">
        <f t="shared" si="8"/>
        <v>3.9058447484678345E-3</v>
      </c>
      <c r="M206" s="112">
        <f t="shared" si="9"/>
        <v>7.811689496935669E-5</v>
      </c>
    </row>
    <row r="207" spans="1:13" x14ac:dyDescent="0.2">
      <c r="A207" s="15"/>
      <c r="B207" s="116" t="s">
        <v>182</v>
      </c>
      <c r="C207" s="117" t="s">
        <v>183</v>
      </c>
      <c r="D207" s="118">
        <v>43021</v>
      </c>
      <c r="E207" s="47" t="s">
        <v>148</v>
      </c>
      <c r="F207" s="118">
        <v>44482</v>
      </c>
      <c r="G207" s="119">
        <v>250000</v>
      </c>
      <c r="H207" s="119"/>
      <c r="I207" s="119">
        <v>250000</v>
      </c>
      <c r="J207" s="120">
        <v>0.02</v>
      </c>
      <c r="L207" s="111">
        <f t="shared" si="8"/>
        <v>3.9058447484678345E-3</v>
      </c>
      <c r="M207" s="112">
        <f t="shared" si="9"/>
        <v>7.811689496935669E-5</v>
      </c>
    </row>
    <row r="208" spans="1:13" ht="22.5" x14ac:dyDescent="0.2">
      <c r="A208" s="15"/>
      <c r="B208" s="116" t="s">
        <v>184</v>
      </c>
      <c r="C208" s="117" t="s">
        <v>185</v>
      </c>
      <c r="D208" s="118">
        <v>42594</v>
      </c>
      <c r="E208" s="47" t="s">
        <v>153</v>
      </c>
      <c r="F208" s="118">
        <v>43689</v>
      </c>
      <c r="G208" s="119">
        <v>250000</v>
      </c>
      <c r="H208" s="119"/>
      <c r="I208" s="119">
        <v>250000</v>
      </c>
      <c r="J208" s="120">
        <v>1.15E-2</v>
      </c>
      <c r="L208" s="111">
        <f t="shared" si="8"/>
        <v>3.9058447484678345E-3</v>
      </c>
      <c r="M208" s="112">
        <f t="shared" si="9"/>
        <v>4.4917214607380095E-5</v>
      </c>
    </row>
    <row r="209" spans="1:13" ht="22.5" x14ac:dyDescent="0.2">
      <c r="A209" s="15"/>
      <c r="B209" s="116" t="s">
        <v>186</v>
      </c>
      <c r="C209" s="117" t="s">
        <v>187</v>
      </c>
      <c r="D209" s="118">
        <v>42753</v>
      </c>
      <c r="E209" s="47" t="s">
        <v>145</v>
      </c>
      <c r="F209" s="118">
        <v>44579</v>
      </c>
      <c r="G209" s="119">
        <v>250000</v>
      </c>
      <c r="H209" s="119"/>
      <c r="I209" s="119">
        <v>250000</v>
      </c>
      <c r="J209" s="120">
        <v>2.0500000000000001E-2</v>
      </c>
      <c r="L209" s="111">
        <f t="shared" si="8"/>
        <v>3.9058447484678345E-3</v>
      </c>
      <c r="M209" s="112">
        <f t="shared" si="9"/>
        <v>8.0069817343590604E-5</v>
      </c>
    </row>
    <row r="210" spans="1:13" ht="22.5" x14ac:dyDescent="0.2">
      <c r="A210" s="15"/>
      <c r="B210" s="116" t="s">
        <v>188</v>
      </c>
      <c r="C210" s="117" t="s">
        <v>189</v>
      </c>
      <c r="D210" s="118">
        <v>42893</v>
      </c>
      <c r="E210" s="47" t="s">
        <v>145</v>
      </c>
      <c r="F210" s="118">
        <v>44719</v>
      </c>
      <c r="G210" s="119">
        <v>250000</v>
      </c>
      <c r="H210" s="119"/>
      <c r="I210" s="119">
        <v>250000</v>
      </c>
      <c r="J210" s="120">
        <v>2.1000000000000001E-2</v>
      </c>
      <c r="L210" s="111">
        <f t="shared" si="8"/>
        <v>3.9058447484678345E-3</v>
      </c>
      <c r="M210" s="112">
        <f t="shared" si="9"/>
        <v>8.2022739717824532E-5</v>
      </c>
    </row>
    <row r="211" spans="1:13" ht="22.5" x14ac:dyDescent="0.2">
      <c r="A211" s="15"/>
      <c r="B211" s="116" t="s">
        <v>190</v>
      </c>
      <c r="C211" s="117" t="s">
        <v>191</v>
      </c>
      <c r="D211" s="118">
        <v>43152</v>
      </c>
      <c r="E211" s="47" t="s">
        <v>148</v>
      </c>
      <c r="F211" s="118">
        <v>44614</v>
      </c>
      <c r="G211" s="119">
        <v>250000</v>
      </c>
      <c r="H211" s="119"/>
      <c r="I211" s="119">
        <v>250000</v>
      </c>
      <c r="J211" s="120">
        <v>2.4500000000000001E-2</v>
      </c>
      <c r="L211" s="111">
        <f t="shared" si="8"/>
        <v>3.9058447484678345E-3</v>
      </c>
      <c r="M211" s="112">
        <f t="shared" si="9"/>
        <v>9.5693196337461947E-5</v>
      </c>
    </row>
    <row r="212" spans="1:13" ht="22.5" x14ac:dyDescent="0.2">
      <c r="A212" s="15"/>
      <c r="B212" s="116" t="s">
        <v>192</v>
      </c>
      <c r="C212" s="117" t="s">
        <v>193</v>
      </c>
      <c r="D212" s="118">
        <v>43117</v>
      </c>
      <c r="E212" s="47" t="s">
        <v>194</v>
      </c>
      <c r="F212" s="118">
        <v>44244</v>
      </c>
      <c r="G212" s="119">
        <v>250000</v>
      </c>
      <c r="H212" s="119"/>
      <c r="I212" s="119">
        <v>250000</v>
      </c>
      <c r="J212" s="120">
        <v>2.1499999999999998E-2</v>
      </c>
      <c r="L212" s="111">
        <f t="shared" si="8"/>
        <v>3.9058447484678345E-3</v>
      </c>
      <c r="M212" s="112">
        <f t="shared" si="9"/>
        <v>8.3975662092058433E-5</v>
      </c>
    </row>
    <row r="213" spans="1:13" ht="22.5" x14ac:dyDescent="0.2">
      <c r="A213" s="15"/>
      <c r="B213" s="116" t="s">
        <v>195</v>
      </c>
      <c r="C213" s="117" t="s">
        <v>196</v>
      </c>
      <c r="D213" s="118">
        <v>42930</v>
      </c>
      <c r="E213" s="47" t="s">
        <v>145</v>
      </c>
      <c r="F213" s="118">
        <v>44756</v>
      </c>
      <c r="G213" s="119">
        <v>250000</v>
      </c>
      <c r="H213" s="119"/>
      <c r="I213" s="119">
        <v>250000</v>
      </c>
      <c r="J213" s="120">
        <v>2.0500000000000001E-2</v>
      </c>
      <c r="L213" s="111">
        <f t="shared" si="8"/>
        <v>3.9058447484678345E-3</v>
      </c>
      <c r="M213" s="112">
        <f t="shared" si="9"/>
        <v>8.0069817343590604E-5</v>
      </c>
    </row>
    <row r="214" spans="1:13" ht="22.5" x14ac:dyDescent="0.2">
      <c r="A214" s="15"/>
      <c r="B214" s="116" t="s">
        <v>197</v>
      </c>
      <c r="C214" s="117" t="s">
        <v>198</v>
      </c>
      <c r="D214" s="118">
        <v>42755</v>
      </c>
      <c r="E214" s="47" t="s">
        <v>145</v>
      </c>
      <c r="F214" s="118">
        <v>44581</v>
      </c>
      <c r="G214" s="119">
        <v>250000</v>
      </c>
      <c r="H214" s="119"/>
      <c r="I214" s="119">
        <v>250000</v>
      </c>
      <c r="J214" s="120">
        <v>0.02</v>
      </c>
      <c r="L214" s="111">
        <f t="shared" si="8"/>
        <v>3.9058447484678345E-3</v>
      </c>
      <c r="M214" s="112">
        <f t="shared" si="9"/>
        <v>7.811689496935669E-5</v>
      </c>
    </row>
    <row r="215" spans="1:13" ht="22.5" x14ac:dyDescent="0.2">
      <c r="A215" s="15"/>
      <c r="B215" s="116" t="s">
        <v>199</v>
      </c>
      <c r="C215" s="117" t="s">
        <v>200</v>
      </c>
      <c r="D215" s="118">
        <v>43112</v>
      </c>
      <c r="E215" s="47" t="s">
        <v>201</v>
      </c>
      <c r="F215" s="118">
        <v>43934</v>
      </c>
      <c r="G215" s="119">
        <v>250000</v>
      </c>
      <c r="H215" s="119"/>
      <c r="I215" s="119">
        <v>250000</v>
      </c>
      <c r="J215" s="120">
        <v>0.02</v>
      </c>
      <c r="L215" s="111">
        <f t="shared" si="8"/>
        <v>3.9058447484678345E-3</v>
      </c>
      <c r="M215" s="112">
        <f t="shared" si="9"/>
        <v>7.811689496935669E-5</v>
      </c>
    </row>
    <row r="216" spans="1:13" x14ac:dyDescent="0.2">
      <c r="A216" s="15"/>
      <c r="B216" s="116" t="s">
        <v>202</v>
      </c>
      <c r="C216" s="117" t="s">
        <v>203</v>
      </c>
      <c r="D216" s="118">
        <v>42566</v>
      </c>
      <c r="E216" s="47" t="s">
        <v>153</v>
      </c>
      <c r="F216" s="118">
        <v>43661</v>
      </c>
      <c r="G216" s="119">
        <v>250000</v>
      </c>
      <c r="H216" s="119"/>
      <c r="I216" s="119">
        <v>250000</v>
      </c>
      <c r="J216" s="120">
        <v>0.01</v>
      </c>
      <c r="L216" s="111">
        <f t="shared" si="8"/>
        <v>3.9058447484678345E-3</v>
      </c>
      <c r="M216" s="112">
        <f t="shared" si="9"/>
        <v>3.9058447484678345E-5</v>
      </c>
    </row>
    <row r="217" spans="1:13" x14ac:dyDescent="0.2">
      <c r="A217" s="15"/>
      <c r="B217" s="116" t="s">
        <v>204</v>
      </c>
      <c r="C217" s="117" t="s">
        <v>205</v>
      </c>
      <c r="D217" s="118">
        <v>43628</v>
      </c>
      <c r="E217" s="47" t="s">
        <v>153</v>
      </c>
      <c r="F217" s="118">
        <v>44725</v>
      </c>
      <c r="G217" s="119">
        <v>250000</v>
      </c>
      <c r="H217" s="119"/>
      <c r="I217" s="119">
        <v>250000</v>
      </c>
      <c r="J217" s="120">
        <v>2.5000000000000001E-2</v>
      </c>
      <c r="L217" s="111">
        <f t="shared" si="8"/>
        <v>3.9058447484678345E-3</v>
      </c>
      <c r="M217" s="112">
        <f t="shared" si="9"/>
        <v>9.7646118711695862E-5</v>
      </c>
    </row>
    <row r="218" spans="1:13" ht="22.5" x14ac:dyDescent="0.2">
      <c r="A218" s="15"/>
      <c r="B218" s="116" t="s">
        <v>206</v>
      </c>
      <c r="C218" s="117" t="s">
        <v>207</v>
      </c>
      <c r="D218" s="118">
        <v>42622</v>
      </c>
      <c r="E218" s="47" t="s">
        <v>208</v>
      </c>
      <c r="F218" s="118">
        <v>43991</v>
      </c>
      <c r="G218" s="119">
        <v>250000</v>
      </c>
      <c r="H218" s="119"/>
      <c r="I218" s="119">
        <v>250000</v>
      </c>
      <c r="J218" s="120">
        <v>1.15E-2</v>
      </c>
      <c r="L218" s="111">
        <f t="shared" si="8"/>
        <v>3.9058447484678345E-3</v>
      </c>
      <c r="M218" s="112">
        <f t="shared" si="9"/>
        <v>4.4917214607380095E-5</v>
      </c>
    </row>
    <row r="219" spans="1:13" ht="22.5" x14ac:dyDescent="0.2">
      <c r="A219" s="15"/>
      <c r="B219" s="116" t="s">
        <v>209</v>
      </c>
      <c r="C219" s="117" t="s">
        <v>210</v>
      </c>
      <c r="D219" s="118">
        <v>43616</v>
      </c>
      <c r="E219" s="47" t="s">
        <v>153</v>
      </c>
      <c r="F219" s="118">
        <v>44712</v>
      </c>
      <c r="G219" s="119">
        <v>250000</v>
      </c>
      <c r="H219" s="119"/>
      <c r="I219" s="119">
        <v>250000</v>
      </c>
      <c r="J219" s="120">
        <v>2.5000000000000001E-2</v>
      </c>
      <c r="L219" s="111">
        <f t="shared" si="8"/>
        <v>3.9058447484678345E-3</v>
      </c>
      <c r="M219" s="112">
        <f t="shared" si="9"/>
        <v>9.7646118711695862E-5</v>
      </c>
    </row>
    <row r="220" spans="1:13" x14ac:dyDescent="0.2">
      <c r="A220" s="15"/>
      <c r="B220" s="116" t="s">
        <v>211</v>
      </c>
      <c r="C220" s="117" t="s">
        <v>212</v>
      </c>
      <c r="D220" s="118">
        <v>42815</v>
      </c>
      <c r="E220" s="47" t="s">
        <v>145</v>
      </c>
      <c r="F220" s="118">
        <v>44641</v>
      </c>
      <c r="G220" s="119">
        <v>250000</v>
      </c>
      <c r="H220" s="119"/>
      <c r="I220" s="119">
        <v>250000</v>
      </c>
      <c r="J220" s="120">
        <v>2.4500000000000001E-2</v>
      </c>
      <c r="L220" s="111">
        <f t="shared" si="8"/>
        <v>3.9058447484678345E-3</v>
      </c>
      <c r="M220" s="112">
        <f t="shared" si="9"/>
        <v>9.5693196337461947E-5</v>
      </c>
    </row>
    <row r="221" spans="1:13" ht="22.5" x14ac:dyDescent="0.2">
      <c r="A221" s="15"/>
      <c r="B221" s="116" t="s">
        <v>213</v>
      </c>
      <c r="C221" s="117" t="s">
        <v>214</v>
      </c>
      <c r="D221" s="118">
        <v>42762</v>
      </c>
      <c r="E221" s="47" t="s">
        <v>145</v>
      </c>
      <c r="F221" s="118">
        <v>44588</v>
      </c>
      <c r="G221" s="119">
        <v>250000</v>
      </c>
      <c r="H221" s="119"/>
      <c r="I221" s="119">
        <v>250000</v>
      </c>
      <c r="J221" s="120">
        <v>1.9E-2</v>
      </c>
      <c r="L221" s="111">
        <f t="shared" si="8"/>
        <v>3.9058447484678345E-3</v>
      </c>
      <c r="M221" s="112">
        <f t="shared" si="9"/>
        <v>7.4211050220888847E-5</v>
      </c>
    </row>
    <row r="222" spans="1:13" ht="22.5" x14ac:dyDescent="0.2">
      <c r="A222" s="15"/>
      <c r="B222" s="116" t="s">
        <v>215</v>
      </c>
      <c r="C222" s="117" t="s">
        <v>216</v>
      </c>
      <c r="D222" s="118">
        <v>42690</v>
      </c>
      <c r="E222" s="47" t="s">
        <v>194</v>
      </c>
      <c r="F222" s="118">
        <v>43815</v>
      </c>
      <c r="G222" s="119">
        <v>250000</v>
      </c>
      <c r="H222" s="119"/>
      <c r="I222" s="119">
        <v>250000</v>
      </c>
      <c r="J222" s="120">
        <v>1.15E-2</v>
      </c>
      <c r="L222" s="111">
        <f t="shared" si="8"/>
        <v>3.9058447484678345E-3</v>
      </c>
      <c r="M222" s="112">
        <f t="shared" si="9"/>
        <v>4.4917214607380095E-5</v>
      </c>
    </row>
    <row r="223" spans="1:13" ht="22.5" x14ac:dyDescent="0.2">
      <c r="A223" s="15"/>
      <c r="B223" s="116" t="s">
        <v>217</v>
      </c>
      <c r="C223" s="117" t="s">
        <v>218</v>
      </c>
      <c r="D223" s="118">
        <v>42888</v>
      </c>
      <c r="E223" s="47" t="s">
        <v>145</v>
      </c>
      <c r="F223" s="118">
        <v>44714</v>
      </c>
      <c r="G223" s="119">
        <v>250000</v>
      </c>
      <c r="H223" s="119"/>
      <c r="I223" s="119">
        <v>250000</v>
      </c>
      <c r="J223" s="120">
        <v>2.0500000000000001E-2</v>
      </c>
      <c r="L223" s="111">
        <f t="shared" si="8"/>
        <v>3.9058447484678345E-3</v>
      </c>
      <c r="M223" s="112">
        <f t="shared" si="9"/>
        <v>8.0069817343590604E-5</v>
      </c>
    </row>
    <row r="224" spans="1:13" ht="22.5" x14ac:dyDescent="0.2">
      <c r="A224" s="15"/>
      <c r="B224" s="116" t="s">
        <v>219</v>
      </c>
      <c r="C224" s="117" t="s">
        <v>220</v>
      </c>
      <c r="D224" s="118">
        <v>43028</v>
      </c>
      <c r="E224" s="47" t="s">
        <v>221</v>
      </c>
      <c r="F224" s="118">
        <v>44671</v>
      </c>
      <c r="G224" s="119">
        <v>250000</v>
      </c>
      <c r="H224" s="119"/>
      <c r="I224" s="119">
        <v>250000</v>
      </c>
      <c r="J224" s="120">
        <v>2.1000000000000001E-2</v>
      </c>
      <c r="L224" s="111">
        <f t="shared" si="8"/>
        <v>3.9058447484678345E-3</v>
      </c>
      <c r="M224" s="112">
        <f t="shared" si="9"/>
        <v>8.2022739717824532E-5</v>
      </c>
    </row>
    <row r="225" spans="1:13" x14ac:dyDescent="0.2">
      <c r="A225" s="15"/>
      <c r="B225" s="116" t="s">
        <v>222</v>
      </c>
      <c r="C225" s="117" t="s">
        <v>223</v>
      </c>
      <c r="D225" s="118">
        <v>42620</v>
      </c>
      <c r="E225" s="47" t="s">
        <v>153</v>
      </c>
      <c r="F225" s="118">
        <v>43717</v>
      </c>
      <c r="G225" s="119">
        <v>250000</v>
      </c>
      <c r="H225" s="119"/>
      <c r="I225" s="119">
        <v>250000</v>
      </c>
      <c r="J225" s="120">
        <v>1.15E-2</v>
      </c>
      <c r="L225" s="111">
        <f t="shared" si="8"/>
        <v>3.9058447484678345E-3</v>
      </c>
      <c r="M225" s="112">
        <f t="shared" si="9"/>
        <v>4.4917214607380095E-5</v>
      </c>
    </row>
    <row r="226" spans="1:13" ht="22.5" x14ac:dyDescent="0.2">
      <c r="A226" s="15"/>
      <c r="B226" s="116" t="s">
        <v>224</v>
      </c>
      <c r="C226" s="117" t="s">
        <v>225</v>
      </c>
      <c r="D226" s="118">
        <v>42781</v>
      </c>
      <c r="E226" s="47" t="s">
        <v>145</v>
      </c>
      <c r="F226" s="118">
        <v>44607</v>
      </c>
      <c r="G226" s="119">
        <v>250000</v>
      </c>
      <c r="H226" s="119"/>
      <c r="I226" s="119">
        <v>250000</v>
      </c>
      <c r="J226" s="120">
        <v>2.3E-2</v>
      </c>
      <c r="L226" s="111">
        <f t="shared" si="8"/>
        <v>3.9058447484678345E-3</v>
      </c>
      <c r="M226" s="112">
        <f t="shared" si="9"/>
        <v>8.983442921476019E-5</v>
      </c>
    </row>
    <row r="227" spans="1:13" x14ac:dyDescent="0.2">
      <c r="A227" s="15"/>
      <c r="B227" s="116" t="s">
        <v>226</v>
      </c>
      <c r="C227" s="117" t="s">
        <v>227</v>
      </c>
      <c r="D227" s="118">
        <v>43112</v>
      </c>
      <c r="E227" s="47" t="s">
        <v>145</v>
      </c>
      <c r="F227" s="118">
        <v>44938</v>
      </c>
      <c r="G227" s="119">
        <v>250000</v>
      </c>
      <c r="H227" s="119"/>
      <c r="I227" s="119">
        <v>250000</v>
      </c>
      <c r="J227" s="120">
        <v>2.35E-2</v>
      </c>
      <c r="L227" s="111">
        <f t="shared" si="8"/>
        <v>3.9058447484678345E-3</v>
      </c>
      <c r="M227" s="112">
        <f t="shared" si="9"/>
        <v>9.1787351588994105E-5</v>
      </c>
    </row>
    <row r="228" spans="1:13" x14ac:dyDescent="0.2">
      <c r="A228" s="15"/>
      <c r="B228" s="116" t="s">
        <v>228</v>
      </c>
      <c r="C228" s="117" t="s">
        <v>229</v>
      </c>
      <c r="D228" s="118">
        <v>42748</v>
      </c>
      <c r="E228" s="47" t="s">
        <v>221</v>
      </c>
      <c r="F228" s="118">
        <v>44390</v>
      </c>
      <c r="G228" s="119">
        <v>250000</v>
      </c>
      <c r="H228" s="119"/>
      <c r="I228" s="119">
        <v>250000</v>
      </c>
      <c r="J228" s="120">
        <v>1.95E-2</v>
      </c>
      <c r="L228" s="111">
        <f t="shared" si="8"/>
        <v>3.9058447484678345E-3</v>
      </c>
      <c r="M228" s="112">
        <f t="shared" si="9"/>
        <v>7.6163972595122775E-5</v>
      </c>
    </row>
    <row r="229" spans="1:13" ht="22.5" x14ac:dyDescent="0.2">
      <c r="A229" s="15"/>
      <c r="B229" s="116" t="s">
        <v>230</v>
      </c>
      <c r="C229" s="117" t="s">
        <v>231</v>
      </c>
      <c r="D229" s="118">
        <v>42601</v>
      </c>
      <c r="E229" s="47" t="s">
        <v>148</v>
      </c>
      <c r="F229" s="118">
        <v>44062</v>
      </c>
      <c r="G229" s="119">
        <v>250000</v>
      </c>
      <c r="H229" s="119"/>
      <c r="I229" s="119">
        <v>250000</v>
      </c>
      <c r="J229" s="120">
        <v>1.2500000000000001E-2</v>
      </c>
      <c r="L229" s="111">
        <f t="shared" si="8"/>
        <v>3.9058447484678345E-3</v>
      </c>
      <c r="M229" s="112">
        <f t="shared" si="9"/>
        <v>4.8823059355847931E-5</v>
      </c>
    </row>
    <row r="230" spans="1:13" ht="22.5" x14ac:dyDescent="0.2">
      <c r="A230" s="15"/>
      <c r="B230" s="116" t="s">
        <v>232</v>
      </c>
      <c r="C230" s="117" t="s">
        <v>233</v>
      </c>
      <c r="D230" s="118">
        <v>42559</v>
      </c>
      <c r="E230" s="47" t="s">
        <v>148</v>
      </c>
      <c r="F230" s="118">
        <v>44020</v>
      </c>
      <c r="G230" s="119">
        <v>250000</v>
      </c>
      <c r="H230" s="119"/>
      <c r="I230" s="119">
        <v>250000</v>
      </c>
      <c r="J230" s="120">
        <v>1.15E-2</v>
      </c>
      <c r="L230" s="111">
        <f t="shared" si="8"/>
        <v>3.9058447484678345E-3</v>
      </c>
      <c r="M230" s="112">
        <f t="shared" si="9"/>
        <v>4.4917214607380095E-5</v>
      </c>
    </row>
    <row r="231" spans="1:13" x14ac:dyDescent="0.2">
      <c r="A231" s="15"/>
      <c r="B231" s="116" t="s">
        <v>234</v>
      </c>
      <c r="C231" s="117" t="s">
        <v>235</v>
      </c>
      <c r="D231" s="118">
        <v>43098</v>
      </c>
      <c r="E231" s="47" t="s">
        <v>153</v>
      </c>
      <c r="F231" s="118">
        <v>44194</v>
      </c>
      <c r="G231" s="119">
        <v>250000</v>
      </c>
      <c r="H231" s="119"/>
      <c r="I231" s="119">
        <v>250000</v>
      </c>
      <c r="J231" s="120">
        <v>2.1999999999999999E-2</v>
      </c>
      <c r="L231" s="111">
        <f t="shared" si="8"/>
        <v>3.9058447484678345E-3</v>
      </c>
      <c r="M231" s="112">
        <f t="shared" si="9"/>
        <v>8.5928584466292348E-5</v>
      </c>
    </row>
    <row r="232" spans="1:13" x14ac:dyDescent="0.2">
      <c r="A232" s="15"/>
      <c r="B232" s="116" t="s">
        <v>236</v>
      </c>
      <c r="C232" s="117" t="s">
        <v>237</v>
      </c>
      <c r="D232" s="118">
        <v>43019</v>
      </c>
      <c r="E232" s="47" t="s">
        <v>145</v>
      </c>
      <c r="F232" s="118">
        <v>44845</v>
      </c>
      <c r="G232" s="119">
        <v>250000</v>
      </c>
      <c r="H232" s="119"/>
      <c r="I232" s="119">
        <v>250000</v>
      </c>
      <c r="J232" s="120">
        <v>2.1000000000000001E-2</v>
      </c>
      <c r="L232" s="111">
        <f t="shared" si="8"/>
        <v>3.9058447484678345E-3</v>
      </c>
      <c r="M232" s="112">
        <f t="shared" si="9"/>
        <v>8.2022739717824532E-5</v>
      </c>
    </row>
    <row r="233" spans="1:13" x14ac:dyDescent="0.2">
      <c r="A233" s="15"/>
      <c r="B233" s="116" t="s">
        <v>238</v>
      </c>
      <c r="C233" s="117" t="s">
        <v>239</v>
      </c>
      <c r="D233" s="118">
        <v>43119</v>
      </c>
      <c r="E233" s="47" t="s">
        <v>145</v>
      </c>
      <c r="F233" s="118">
        <v>44945</v>
      </c>
      <c r="G233" s="119">
        <v>250000</v>
      </c>
      <c r="H233" s="119"/>
      <c r="I233" s="119">
        <v>250000</v>
      </c>
      <c r="J233" s="120">
        <v>2.35E-2</v>
      </c>
      <c r="L233" s="111">
        <f t="shared" si="8"/>
        <v>3.9058447484678345E-3</v>
      </c>
      <c r="M233" s="112">
        <f t="shared" si="9"/>
        <v>9.1787351588994105E-5</v>
      </c>
    </row>
    <row r="234" spans="1:13" ht="22.5" x14ac:dyDescent="0.2">
      <c r="A234" s="15"/>
      <c r="B234" s="116" t="s">
        <v>240</v>
      </c>
      <c r="C234" s="117" t="s">
        <v>241</v>
      </c>
      <c r="D234" s="118">
        <v>43090</v>
      </c>
      <c r="E234" s="47" t="s">
        <v>153</v>
      </c>
      <c r="F234" s="118">
        <v>44186</v>
      </c>
      <c r="G234" s="119">
        <v>250000</v>
      </c>
      <c r="H234" s="119"/>
      <c r="I234" s="119">
        <v>250000</v>
      </c>
      <c r="J234" s="120">
        <v>2.1499999999999998E-2</v>
      </c>
      <c r="L234" s="111">
        <f t="shared" si="8"/>
        <v>3.9058447484678345E-3</v>
      </c>
      <c r="M234" s="112">
        <f t="shared" si="9"/>
        <v>8.3975662092058433E-5</v>
      </c>
    </row>
    <row r="235" spans="1:13" ht="21" customHeight="1" x14ac:dyDescent="0.2">
      <c r="A235" s="15"/>
      <c r="B235" s="116" t="s">
        <v>242</v>
      </c>
      <c r="C235" s="117" t="s">
        <v>243</v>
      </c>
      <c r="D235" s="118">
        <v>42985</v>
      </c>
      <c r="E235" s="47" t="s">
        <v>138</v>
      </c>
      <c r="F235" s="118">
        <v>43717</v>
      </c>
      <c r="G235" s="119">
        <v>250000</v>
      </c>
      <c r="H235" s="119"/>
      <c r="I235" s="119">
        <v>250000</v>
      </c>
      <c r="J235" s="120">
        <v>1.7500000000000002E-2</v>
      </c>
      <c r="L235" s="111">
        <f t="shared" si="8"/>
        <v>3.9058447484678345E-3</v>
      </c>
      <c r="M235" s="112">
        <f t="shared" si="9"/>
        <v>6.8352283098187103E-5</v>
      </c>
    </row>
    <row r="236" spans="1:13" x14ac:dyDescent="0.2">
      <c r="A236" s="15"/>
      <c r="B236" s="116" t="s">
        <v>244</v>
      </c>
      <c r="C236" s="117" t="s">
        <v>245</v>
      </c>
      <c r="D236" s="118">
        <v>43119</v>
      </c>
      <c r="E236" s="47" t="s">
        <v>153</v>
      </c>
      <c r="F236" s="118">
        <v>44215</v>
      </c>
      <c r="G236" s="119">
        <v>250000</v>
      </c>
      <c r="H236" s="119"/>
      <c r="I236" s="119">
        <v>250000</v>
      </c>
      <c r="J236" s="120">
        <v>2.1499999999999998E-2</v>
      </c>
      <c r="L236" s="111">
        <f t="shared" si="8"/>
        <v>3.9058447484678345E-3</v>
      </c>
      <c r="M236" s="112">
        <f t="shared" si="9"/>
        <v>8.3975662092058433E-5</v>
      </c>
    </row>
    <row r="237" spans="1:13" x14ac:dyDescent="0.2">
      <c r="A237" s="15"/>
      <c r="B237" s="116" t="s">
        <v>246</v>
      </c>
      <c r="C237" s="117" t="s">
        <v>247</v>
      </c>
      <c r="D237" s="118">
        <v>43033</v>
      </c>
      <c r="E237" s="47" t="s">
        <v>145</v>
      </c>
      <c r="F237" s="118">
        <v>44859</v>
      </c>
      <c r="G237" s="119">
        <v>250000</v>
      </c>
      <c r="H237" s="119"/>
      <c r="I237" s="119">
        <v>250000</v>
      </c>
      <c r="J237" s="120">
        <v>2.1499999999999998E-2</v>
      </c>
      <c r="L237" s="111">
        <f t="shared" si="8"/>
        <v>3.9058447484678345E-3</v>
      </c>
      <c r="M237" s="112">
        <f t="shared" si="9"/>
        <v>8.3975662092058433E-5</v>
      </c>
    </row>
    <row r="238" spans="1:13" ht="22.5" x14ac:dyDescent="0.2">
      <c r="A238" s="15"/>
      <c r="B238" s="116" t="s">
        <v>248</v>
      </c>
      <c r="C238" s="117" t="s">
        <v>249</v>
      </c>
      <c r="D238" s="118">
        <v>42692</v>
      </c>
      <c r="E238" s="47" t="s">
        <v>153</v>
      </c>
      <c r="F238" s="118">
        <v>43787</v>
      </c>
      <c r="G238" s="119">
        <v>250000</v>
      </c>
      <c r="H238" s="119"/>
      <c r="I238" s="119">
        <v>250000</v>
      </c>
      <c r="J238" s="120">
        <v>1.0999999999999999E-2</v>
      </c>
      <c r="L238" s="111">
        <f t="shared" si="8"/>
        <v>3.9058447484678345E-3</v>
      </c>
      <c r="M238" s="112">
        <f t="shared" si="9"/>
        <v>4.2964292233146174E-5</v>
      </c>
    </row>
    <row r="239" spans="1:13" ht="22.5" x14ac:dyDescent="0.2">
      <c r="A239" s="15"/>
      <c r="B239" s="116" t="s">
        <v>250</v>
      </c>
      <c r="C239" s="117" t="s">
        <v>251</v>
      </c>
      <c r="D239" s="118">
        <v>42753</v>
      </c>
      <c r="E239" s="47" t="s">
        <v>145</v>
      </c>
      <c r="F239" s="118">
        <v>44579</v>
      </c>
      <c r="G239" s="119">
        <v>250000</v>
      </c>
      <c r="H239" s="119"/>
      <c r="I239" s="119">
        <v>250000</v>
      </c>
      <c r="J239" s="120">
        <v>2.0500000000000001E-2</v>
      </c>
      <c r="L239" s="111">
        <f t="shared" si="8"/>
        <v>3.9058447484678345E-3</v>
      </c>
      <c r="M239" s="112">
        <f t="shared" si="9"/>
        <v>8.0069817343590604E-5</v>
      </c>
    </row>
    <row r="240" spans="1:13" ht="22.5" x14ac:dyDescent="0.2">
      <c r="A240" s="15"/>
      <c r="B240" s="116" t="s">
        <v>252</v>
      </c>
      <c r="C240" s="117" t="s">
        <v>253</v>
      </c>
      <c r="D240" s="118">
        <v>42683</v>
      </c>
      <c r="E240" s="47" t="s">
        <v>153</v>
      </c>
      <c r="F240" s="118">
        <v>43777</v>
      </c>
      <c r="G240" s="119">
        <v>250000</v>
      </c>
      <c r="H240" s="119"/>
      <c r="I240" s="119">
        <v>250000</v>
      </c>
      <c r="J240" s="120">
        <v>1.15E-2</v>
      </c>
      <c r="L240" s="111">
        <f t="shared" si="8"/>
        <v>3.9058447484678345E-3</v>
      </c>
      <c r="M240" s="112">
        <f t="shared" si="9"/>
        <v>4.4917214607380095E-5</v>
      </c>
    </row>
    <row r="241" spans="1:13" ht="22.5" x14ac:dyDescent="0.2">
      <c r="A241" s="15"/>
      <c r="B241" s="116" t="s">
        <v>254</v>
      </c>
      <c r="C241" s="117" t="s">
        <v>255</v>
      </c>
      <c r="D241" s="118">
        <v>42655</v>
      </c>
      <c r="E241" s="47" t="s">
        <v>153</v>
      </c>
      <c r="F241" s="118">
        <v>43753</v>
      </c>
      <c r="G241" s="119">
        <v>250000</v>
      </c>
      <c r="H241" s="119"/>
      <c r="I241" s="119">
        <v>250000</v>
      </c>
      <c r="J241" s="120">
        <v>1.2999999999999999E-2</v>
      </c>
      <c r="L241" s="111">
        <f t="shared" si="8"/>
        <v>3.9058447484678345E-3</v>
      </c>
      <c r="M241" s="112">
        <f t="shared" si="9"/>
        <v>5.0775981730081846E-5</v>
      </c>
    </row>
    <row r="242" spans="1:13" ht="22.5" x14ac:dyDescent="0.2">
      <c r="A242" s="15"/>
      <c r="B242" s="116" t="s">
        <v>256</v>
      </c>
      <c r="C242" s="117" t="s">
        <v>257</v>
      </c>
      <c r="D242" s="118">
        <v>42566</v>
      </c>
      <c r="E242" s="47" t="s">
        <v>148</v>
      </c>
      <c r="F242" s="118">
        <v>44027</v>
      </c>
      <c r="G242" s="119">
        <v>250000</v>
      </c>
      <c r="H242" s="119"/>
      <c r="I242" s="119">
        <v>250000</v>
      </c>
      <c r="J242" s="120">
        <v>1.15E-2</v>
      </c>
      <c r="L242" s="111">
        <f t="shared" si="8"/>
        <v>3.9058447484678345E-3</v>
      </c>
      <c r="M242" s="112">
        <f t="shared" si="9"/>
        <v>4.4917214607380095E-5</v>
      </c>
    </row>
    <row r="243" spans="1:13" ht="22.5" x14ac:dyDescent="0.2">
      <c r="A243" s="15"/>
      <c r="B243" s="116" t="s">
        <v>258</v>
      </c>
      <c r="C243" s="117" t="s">
        <v>259</v>
      </c>
      <c r="D243" s="118">
        <v>43047</v>
      </c>
      <c r="E243" s="47" t="s">
        <v>145</v>
      </c>
      <c r="F243" s="118">
        <v>44873</v>
      </c>
      <c r="G243" s="119">
        <v>250000</v>
      </c>
      <c r="H243" s="119"/>
      <c r="I243" s="119">
        <v>250000</v>
      </c>
      <c r="J243" s="120">
        <v>2.1499999999999998E-2</v>
      </c>
      <c r="L243" s="111">
        <f t="shared" si="8"/>
        <v>3.9058447484678345E-3</v>
      </c>
      <c r="M243" s="112">
        <f t="shared" si="9"/>
        <v>8.3975662092058433E-5</v>
      </c>
    </row>
    <row r="244" spans="1:13" ht="22.5" x14ac:dyDescent="0.2">
      <c r="A244" s="15"/>
      <c r="B244" s="116" t="s">
        <v>260</v>
      </c>
      <c r="C244" s="117" t="s">
        <v>261</v>
      </c>
      <c r="D244" s="118">
        <v>43089</v>
      </c>
      <c r="E244" s="47" t="s">
        <v>262</v>
      </c>
      <c r="F244" s="118">
        <v>44306</v>
      </c>
      <c r="G244" s="119">
        <v>250000</v>
      </c>
      <c r="H244" s="119"/>
      <c r="I244" s="119">
        <v>250000</v>
      </c>
      <c r="J244" s="120">
        <v>0.02</v>
      </c>
      <c r="L244" s="111">
        <f t="shared" si="8"/>
        <v>3.9058447484678345E-3</v>
      </c>
      <c r="M244" s="112">
        <f t="shared" si="9"/>
        <v>7.811689496935669E-5</v>
      </c>
    </row>
    <row r="245" spans="1:13" x14ac:dyDescent="0.2">
      <c r="A245" s="15"/>
      <c r="B245" s="116" t="s">
        <v>263</v>
      </c>
      <c r="C245" s="117" t="s">
        <v>264</v>
      </c>
      <c r="D245" s="118">
        <v>42748</v>
      </c>
      <c r="E245" s="47" t="s">
        <v>153</v>
      </c>
      <c r="F245" s="118">
        <v>43843</v>
      </c>
      <c r="G245" s="119">
        <v>250000</v>
      </c>
      <c r="H245" s="119"/>
      <c r="I245" s="119">
        <v>250000</v>
      </c>
      <c r="J245" s="120">
        <v>1.6E-2</v>
      </c>
      <c r="L245" s="111">
        <f t="shared" si="8"/>
        <v>3.9058447484678345E-3</v>
      </c>
      <c r="M245" s="112">
        <f t="shared" si="9"/>
        <v>6.2493515975485346E-5</v>
      </c>
    </row>
    <row r="246" spans="1:13" ht="22.5" x14ac:dyDescent="0.2">
      <c r="A246" s="15"/>
      <c r="B246" s="116" t="s">
        <v>265</v>
      </c>
      <c r="C246" s="117" t="s">
        <v>266</v>
      </c>
      <c r="D246" s="118">
        <v>43126</v>
      </c>
      <c r="E246" s="47" t="s">
        <v>267</v>
      </c>
      <c r="F246" s="118">
        <v>44403</v>
      </c>
      <c r="G246" s="119">
        <v>250000</v>
      </c>
      <c r="H246" s="119"/>
      <c r="I246" s="119">
        <v>250000</v>
      </c>
      <c r="J246" s="120">
        <v>2.1999999999999999E-2</v>
      </c>
      <c r="L246" s="111">
        <f t="shared" si="8"/>
        <v>3.9058447484678345E-3</v>
      </c>
      <c r="M246" s="112">
        <f t="shared" si="9"/>
        <v>8.5928584466292348E-5</v>
      </c>
    </row>
    <row r="247" spans="1:13" x14ac:dyDescent="0.2">
      <c r="A247" s="15"/>
      <c r="B247" s="116" t="s">
        <v>268</v>
      </c>
      <c r="C247" s="117" t="s">
        <v>269</v>
      </c>
      <c r="D247" s="118">
        <v>42976</v>
      </c>
      <c r="E247" s="47" t="s">
        <v>145</v>
      </c>
      <c r="F247" s="118">
        <v>44802</v>
      </c>
      <c r="G247" s="119">
        <v>250000</v>
      </c>
      <c r="H247" s="119"/>
      <c r="I247" s="119">
        <v>250000</v>
      </c>
      <c r="J247" s="120">
        <v>1.7999999999999999E-2</v>
      </c>
      <c r="L247" s="111">
        <f t="shared" si="8"/>
        <v>3.9058447484678345E-3</v>
      </c>
      <c r="M247" s="112">
        <f t="shared" si="9"/>
        <v>7.0305205472421018E-5</v>
      </c>
    </row>
    <row r="248" spans="1:13" x14ac:dyDescent="0.2">
      <c r="A248" s="15"/>
      <c r="B248" s="116" t="s">
        <v>270</v>
      </c>
      <c r="C248" s="117" t="s">
        <v>271</v>
      </c>
      <c r="D248" s="118">
        <v>42888</v>
      </c>
      <c r="E248" s="47" t="s">
        <v>145</v>
      </c>
      <c r="F248" s="118">
        <v>44714</v>
      </c>
      <c r="G248" s="119">
        <v>250000</v>
      </c>
      <c r="H248" s="119"/>
      <c r="I248" s="119">
        <v>250000</v>
      </c>
      <c r="J248" s="120">
        <v>2.4E-2</v>
      </c>
      <c r="L248" s="111">
        <f t="shared" si="8"/>
        <v>3.9058447484678345E-3</v>
      </c>
      <c r="M248" s="112">
        <f t="shared" si="9"/>
        <v>9.3740273963228033E-5</v>
      </c>
    </row>
    <row r="249" spans="1:13" ht="22.5" x14ac:dyDescent="0.2">
      <c r="A249" s="15"/>
      <c r="B249" s="116" t="s">
        <v>272</v>
      </c>
      <c r="C249" s="117" t="s">
        <v>273</v>
      </c>
      <c r="D249" s="118">
        <v>43063</v>
      </c>
      <c r="E249" s="47" t="s">
        <v>148</v>
      </c>
      <c r="F249" s="118">
        <v>44524</v>
      </c>
      <c r="G249" s="119">
        <v>250000</v>
      </c>
      <c r="H249" s="119"/>
      <c r="I249" s="119">
        <v>250000</v>
      </c>
      <c r="J249" s="120">
        <v>2.1000000000000001E-2</v>
      </c>
      <c r="L249" s="111">
        <f t="shared" si="8"/>
        <v>3.9058447484678345E-3</v>
      </c>
      <c r="M249" s="112">
        <f t="shared" si="9"/>
        <v>8.2022739717824532E-5</v>
      </c>
    </row>
    <row r="250" spans="1:13" x14ac:dyDescent="0.2">
      <c r="A250" s="15"/>
      <c r="B250" s="116" t="s">
        <v>274</v>
      </c>
      <c r="C250" s="117" t="s">
        <v>275</v>
      </c>
      <c r="D250" s="118">
        <v>42523</v>
      </c>
      <c r="E250" s="47" t="s">
        <v>276</v>
      </c>
      <c r="F250" s="118">
        <v>43923</v>
      </c>
      <c r="G250" s="119">
        <v>250000</v>
      </c>
      <c r="H250" s="85"/>
      <c r="I250" s="119">
        <v>250000</v>
      </c>
      <c r="J250" s="110">
        <v>1.2500000000000001E-2</v>
      </c>
      <c r="L250" s="111">
        <f t="shared" si="8"/>
        <v>3.9058447484678345E-3</v>
      </c>
      <c r="M250" s="112">
        <f t="shared" si="9"/>
        <v>4.8823059355847931E-5</v>
      </c>
    </row>
    <row r="251" spans="1:13" ht="22.5" x14ac:dyDescent="0.2">
      <c r="A251" s="15"/>
      <c r="B251" s="116" t="s">
        <v>277</v>
      </c>
      <c r="C251" s="117" t="s">
        <v>278</v>
      </c>
      <c r="D251" s="118">
        <v>42755</v>
      </c>
      <c r="E251" s="47" t="s">
        <v>267</v>
      </c>
      <c r="F251" s="118">
        <v>43668</v>
      </c>
      <c r="G251" s="119">
        <v>250000</v>
      </c>
      <c r="H251" s="119"/>
      <c r="I251" s="119">
        <v>250000</v>
      </c>
      <c r="J251" s="120">
        <v>1.4500000000000001E-2</v>
      </c>
      <c r="L251" s="111">
        <f t="shared" si="8"/>
        <v>3.9058447484678345E-3</v>
      </c>
      <c r="M251" s="112">
        <f t="shared" si="9"/>
        <v>5.6634748852783603E-5</v>
      </c>
    </row>
    <row r="252" spans="1:13" ht="22.5" x14ac:dyDescent="0.2">
      <c r="A252" s="15"/>
      <c r="B252" s="116" t="s">
        <v>279</v>
      </c>
      <c r="C252" s="117" t="s">
        <v>280</v>
      </c>
      <c r="D252" s="118">
        <v>43020</v>
      </c>
      <c r="E252" s="47" t="s">
        <v>221</v>
      </c>
      <c r="F252" s="118">
        <v>44663</v>
      </c>
      <c r="G252" s="119">
        <v>250000</v>
      </c>
      <c r="H252" s="119"/>
      <c r="I252" s="119">
        <v>250000</v>
      </c>
      <c r="J252" s="120">
        <v>2.0500000000000001E-2</v>
      </c>
      <c r="L252" s="111">
        <f t="shared" ref="L252:L257" si="10">I252/I$268</f>
        <v>3.9058447484678345E-3</v>
      </c>
      <c r="M252" s="112">
        <f t="shared" ref="M252:M257" si="11">L252*J252</f>
        <v>8.0069817343590604E-5</v>
      </c>
    </row>
    <row r="253" spans="1:13" ht="22.5" x14ac:dyDescent="0.2">
      <c r="A253" s="15"/>
      <c r="B253" s="116" t="s">
        <v>281</v>
      </c>
      <c r="C253" s="117" t="s">
        <v>282</v>
      </c>
      <c r="D253" s="118">
        <v>42692</v>
      </c>
      <c r="E253" s="47" t="s">
        <v>153</v>
      </c>
      <c r="F253" s="118">
        <v>43787</v>
      </c>
      <c r="G253" s="119">
        <v>250000</v>
      </c>
      <c r="H253" s="119"/>
      <c r="I253" s="119">
        <v>250000</v>
      </c>
      <c r="J253" s="120">
        <v>1.35E-2</v>
      </c>
      <c r="L253" s="111">
        <f t="shared" si="10"/>
        <v>3.9058447484678345E-3</v>
      </c>
      <c r="M253" s="112">
        <f t="shared" si="11"/>
        <v>5.2728904104315767E-5</v>
      </c>
    </row>
    <row r="254" spans="1:13" x14ac:dyDescent="0.2">
      <c r="A254" s="15"/>
      <c r="B254" s="116" t="s">
        <v>283</v>
      </c>
      <c r="C254" s="117" t="s">
        <v>284</v>
      </c>
      <c r="D254" s="118">
        <v>43626</v>
      </c>
      <c r="E254" s="47" t="s">
        <v>153</v>
      </c>
      <c r="F254" s="118">
        <v>44722</v>
      </c>
      <c r="G254" s="119">
        <v>250000</v>
      </c>
      <c r="H254" s="119"/>
      <c r="I254" s="119">
        <v>250000</v>
      </c>
      <c r="J254" s="120">
        <v>2.5000000000000001E-2</v>
      </c>
      <c r="L254" s="111">
        <f t="shared" si="10"/>
        <v>3.9058447484678345E-3</v>
      </c>
      <c r="M254" s="112">
        <f t="shared" si="11"/>
        <v>9.7646118711695862E-5</v>
      </c>
    </row>
    <row r="255" spans="1:13" x14ac:dyDescent="0.2">
      <c r="A255" s="15"/>
      <c r="B255" s="116" t="s">
        <v>285</v>
      </c>
      <c r="C255" s="117" t="s">
        <v>286</v>
      </c>
      <c r="D255" s="118">
        <v>42760</v>
      </c>
      <c r="E255" s="47" t="s">
        <v>153</v>
      </c>
      <c r="F255" s="118">
        <v>43857</v>
      </c>
      <c r="G255" s="119">
        <v>250000</v>
      </c>
      <c r="H255" s="119"/>
      <c r="I255" s="119">
        <v>250000</v>
      </c>
      <c r="J255" s="120">
        <v>1.7000000000000001E-2</v>
      </c>
      <c r="L255" s="111">
        <f t="shared" si="10"/>
        <v>3.9058447484678345E-3</v>
      </c>
      <c r="M255" s="112">
        <f t="shared" si="11"/>
        <v>6.6399360723953189E-5</v>
      </c>
    </row>
    <row r="256" spans="1:13" ht="22.5" x14ac:dyDescent="0.2">
      <c r="A256" s="15"/>
      <c r="B256" s="116" t="s">
        <v>287</v>
      </c>
      <c r="C256" s="117" t="s">
        <v>288</v>
      </c>
      <c r="D256" s="118">
        <v>42756</v>
      </c>
      <c r="E256" s="47" t="s">
        <v>153</v>
      </c>
      <c r="F256" s="118">
        <v>43851</v>
      </c>
      <c r="G256" s="119">
        <v>200000</v>
      </c>
      <c r="H256" s="119"/>
      <c r="I256" s="119">
        <v>200000</v>
      </c>
      <c r="J256" s="120">
        <v>1.7500000000000002E-2</v>
      </c>
      <c r="L256" s="111">
        <f t="shared" si="10"/>
        <v>3.1246757987742676E-3</v>
      </c>
      <c r="M256" s="112">
        <f t="shared" si="11"/>
        <v>5.4681826478549688E-5</v>
      </c>
    </row>
    <row r="257" spans="1:14" x14ac:dyDescent="0.2">
      <c r="A257" s="15"/>
      <c r="B257" s="116" t="s">
        <v>289</v>
      </c>
      <c r="C257" s="117" t="s">
        <v>290</v>
      </c>
      <c r="D257" s="118">
        <v>42632</v>
      </c>
      <c r="E257" s="47" t="s">
        <v>153</v>
      </c>
      <c r="F257" s="118">
        <v>43727</v>
      </c>
      <c r="G257" s="119">
        <v>250000</v>
      </c>
      <c r="H257" s="119"/>
      <c r="I257" s="119">
        <v>250000</v>
      </c>
      <c r="J257" s="120">
        <v>1.0999999999999999E-2</v>
      </c>
      <c r="L257" s="111">
        <f t="shared" si="10"/>
        <v>3.9058447484678345E-3</v>
      </c>
      <c r="M257" s="112">
        <f t="shared" si="11"/>
        <v>4.2964292233146174E-5</v>
      </c>
    </row>
    <row r="258" spans="1:14" ht="12.75" customHeight="1" x14ac:dyDescent="0.2">
      <c r="A258" s="84"/>
      <c r="B258" s="122"/>
      <c r="C258" s="123"/>
      <c r="D258" s="118"/>
      <c r="E258" s="47"/>
      <c r="F258" s="118"/>
      <c r="G258" s="124"/>
      <c r="H258" s="124"/>
      <c r="I258" s="119"/>
      <c r="J258" s="120"/>
      <c r="K258" s="125"/>
      <c r="L258" s="111"/>
      <c r="M258" s="112"/>
    </row>
    <row r="259" spans="1:14" ht="12.75" customHeight="1" x14ac:dyDescent="0.2">
      <c r="A259" s="15" t="s">
        <v>291</v>
      </c>
      <c r="B259" s="122" t="s">
        <v>292</v>
      </c>
      <c r="C259" s="123" t="s">
        <v>293</v>
      </c>
      <c r="D259" s="118">
        <v>43315</v>
      </c>
      <c r="E259" s="47" t="s">
        <v>294</v>
      </c>
      <c r="F259" s="118">
        <v>43708</v>
      </c>
      <c r="G259" s="124">
        <v>500000</v>
      </c>
      <c r="H259" s="124"/>
      <c r="I259" s="119">
        <v>500000</v>
      </c>
      <c r="J259" s="120">
        <v>1.2500000000000001E-2</v>
      </c>
      <c r="K259" s="125"/>
      <c r="L259" s="111">
        <f t="shared" ref="L259:L266" si="12">I259/I$268</f>
        <v>7.811689496935669E-3</v>
      </c>
      <c r="M259" s="112">
        <f t="shared" ref="M259:M264" si="13">L259*J259</f>
        <v>9.7646118711695862E-5</v>
      </c>
    </row>
    <row r="260" spans="1:14" ht="12.75" customHeight="1" x14ac:dyDescent="0.2">
      <c r="A260" s="84"/>
      <c r="B260" s="122" t="s">
        <v>292</v>
      </c>
      <c r="C260" s="123" t="s">
        <v>295</v>
      </c>
      <c r="D260" s="118">
        <v>43315</v>
      </c>
      <c r="E260" s="47" t="s">
        <v>294</v>
      </c>
      <c r="F260" s="118">
        <v>43708</v>
      </c>
      <c r="G260" s="124">
        <v>500000</v>
      </c>
      <c r="H260" s="124"/>
      <c r="I260" s="119">
        <v>500000</v>
      </c>
      <c r="J260" s="120">
        <v>1.6250000000000001E-2</v>
      </c>
      <c r="K260" s="125"/>
      <c r="L260" s="111">
        <f t="shared" si="12"/>
        <v>7.811689496935669E-3</v>
      </c>
      <c r="M260" s="112">
        <f t="shared" si="13"/>
        <v>1.2693995432520462E-4</v>
      </c>
    </row>
    <row r="261" spans="1:14" ht="12.75" customHeight="1" x14ac:dyDescent="0.2">
      <c r="A261" s="15"/>
      <c r="B261" s="122" t="s">
        <v>292</v>
      </c>
      <c r="C261" s="123" t="s">
        <v>296</v>
      </c>
      <c r="D261" s="118">
        <v>43312</v>
      </c>
      <c r="E261" s="47" t="s">
        <v>153</v>
      </c>
      <c r="F261" s="118">
        <v>44408</v>
      </c>
      <c r="G261" s="124">
        <v>1000000</v>
      </c>
      <c r="H261" s="124"/>
      <c r="I261" s="119">
        <v>1000000</v>
      </c>
      <c r="J261" s="120">
        <v>1.2500000000000001E-2</v>
      </c>
      <c r="K261" s="125"/>
      <c r="L261" s="111">
        <f t="shared" si="12"/>
        <v>1.5623378993871338E-2</v>
      </c>
      <c r="M261" s="112">
        <f t="shared" si="13"/>
        <v>1.9529223742339172E-4</v>
      </c>
    </row>
    <row r="262" spans="1:14" ht="12.75" customHeight="1" x14ac:dyDescent="0.2">
      <c r="A262" s="84"/>
      <c r="B262" s="122" t="s">
        <v>292</v>
      </c>
      <c r="C262" s="123" t="s">
        <v>297</v>
      </c>
      <c r="D262" s="118">
        <v>43312</v>
      </c>
      <c r="E262" s="47" t="s">
        <v>294</v>
      </c>
      <c r="F262" s="118">
        <v>43677</v>
      </c>
      <c r="G262" s="124">
        <v>1000000</v>
      </c>
      <c r="H262" s="124"/>
      <c r="I262" s="119">
        <v>1000000</v>
      </c>
      <c r="J262" s="120">
        <v>8.7500000000000008E-3</v>
      </c>
      <c r="K262" s="125"/>
      <c r="L262" s="111">
        <f t="shared" si="12"/>
        <v>1.5623378993871338E-2</v>
      </c>
      <c r="M262" s="112">
        <f t="shared" si="13"/>
        <v>1.3670456619637421E-4</v>
      </c>
    </row>
    <row r="263" spans="1:14" ht="12.75" customHeight="1" x14ac:dyDescent="0.2">
      <c r="A263" s="84"/>
      <c r="B263" s="121" t="s">
        <v>292</v>
      </c>
      <c r="C263" s="123" t="s">
        <v>298</v>
      </c>
      <c r="D263" s="118">
        <v>43336</v>
      </c>
      <c r="E263" s="47" t="s">
        <v>299</v>
      </c>
      <c r="F263" s="118">
        <v>43646</v>
      </c>
      <c r="G263" s="124">
        <v>1000000</v>
      </c>
      <c r="H263" s="124"/>
      <c r="I263" s="119">
        <v>1000000</v>
      </c>
      <c r="J263" s="120">
        <v>1.6250000000000001E-2</v>
      </c>
      <c r="K263" s="125"/>
      <c r="L263" s="111">
        <f t="shared" si="12"/>
        <v>1.5623378993871338E-2</v>
      </c>
      <c r="M263" s="112">
        <f t="shared" si="13"/>
        <v>2.5387990865040924E-4</v>
      </c>
    </row>
    <row r="264" spans="1:14" ht="12.75" customHeight="1" x14ac:dyDescent="0.2">
      <c r="A264" s="84"/>
      <c r="B264" s="121" t="s">
        <v>292</v>
      </c>
      <c r="C264" s="117" t="s">
        <v>300</v>
      </c>
      <c r="D264" s="118">
        <v>43646</v>
      </c>
      <c r="E264" s="47" t="s">
        <v>294</v>
      </c>
      <c r="F264" s="118">
        <v>44012</v>
      </c>
      <c r="G264" s="119">
        <v>1000000</v>
      </c>
      <c r="H264" s="119"/>
      <c r="I264" s="119">
        <v>1000000</v>
      </c>
      <c r="J264" s="120">
        <v>1.6250000000000001E-2</v>
      </c>
      <c r="K264" s="125"/>
      <c r="L264" s="111">
        <f t="shared" si="12"/>
        <v>1.5623378993871338E-2</v>
      </c>
      <c r="M264" s="112">
        <f t="shared" si="13"/>
        <v>2.5387990865040924E-4</v>
      </c>
    </row>
    <row r="265" spans="1:14" ht="12.75" customHeight="1" x14ac:dyDescent="0.2">
      <c r="A265" s="84"/>
      <c r="B265" s="122" t="s">
        <v>292</v>
      </c>
      <c r="C265" s="123" t="s">
        <v>301</v>
      </c>
      <c r="D265" s="118">
        <v>43312</v>
      </c>
      <c r="E265" s="47" t="s">
        <v>138</v>
      </c>
      <c r="F265" s="118">
        <v>44043</v>
      </c>
      <c r="G265" s="124">
        <v>1000000</v>
      </c>
      <c r="H265" s="124"/>
      <c r="I265" s="119">
        <v>1000000</v>
      </c>
      <c r="J265" s="120">
        <v>1.6250000000000001E-2</v>
      </c>
      <c r="K265" s="125"/>
      <c r="L265" s="111">
        <f t="shared" si="12"/>
        <v>1.5623378993871338E-2</v>
      </c>
      <c r="M265" s="112">
        <f>L265*J265</f>
        <v>2.5387990865040924E-4</v>
      </c>
    </row>
    <row r="266" spans="1:14" ht="12" thickBot="1" x14ac:dyDescent="0.25">
      <c r="A266" s="126" t="s">
        <v>302</v>
      </c>
      <c r="B266" s="127"/>
      <c r="C266" s="128"/>
      <c r="D266" s="129"/>
      <c r="E266" s="129"/>
      <c r="F266" s="130"/>
      <c r="G266" s="131"/>
      <c r="H266" s="131"/>
      <c r="I266" s="132">
        <f>-398208.4-59055.05+322092.08-46772.55</f>
        <v>-181943.91999999998</v>
      </c>
      <c r="J266" s="133"/>
      <c r="K266" s="125"/>
      <c r="L266" s="111">
        <f t="shared" si="12"/>
        <v>-2.8425788177906071E-3</v>
      </c>
      <c r="M266" s="112">
        <f>L266*J266</f>
        <v>0</v>
      </c>
    </row>
    <row r="267" spans="1:14" x14ac:dyDescent="0.2">
      <c r="A267" s="91"/>
      <c r="B267" s="73"/>
      <c r="C267" s="73"/>
      <c r="D267" s="134"/>
      <c r="E267" s="134"/>
      <c r="F267" s="135"/>
      <c r="G267" s="135">
        <f>SUM(G188:G266)</f>
        <v>23450000</v>
      </c>
      <c r="H267" s="135"/>
      <c r="I267" s="136"/>
      <c r="J267" s="124"/>
    </row>
    <row r="268" spans="1:14" ht="12" thickBot="1" x14ac:dyDescent="0.25">
      <c r="A268" s="15"/>
      <c r="D268" s="137"/>
      <c r="E268" s="137"/>
      <c r="F268" s="138"/>
      <c r="G268" s="32" t="s">
        <v>303</v>
      </c>
      <c r="H268" s="32"/>
      <c r="I268" s="139">
        <f>SUM(I175:I266)</f>
        <v>64006640.329999998</v>
      </c>
      <c r="J268" s="140"/>
      <c r="L268" s="141"/>
    </row>
    <row r="269" spans="1:14" ht="12" thickTop="1" x14ac:dyDescent="0.2">
      <c r="A269" s="15"/>
      <c r="D269" s="137"/>
      <c r="E269" s="137"/>
      <c r="F269" s="138"/>
      <c r="H269" s="32"/>
      <c r="I269" s="23"/>
      <c r="J269" s="142"/>
      <c r="N269" s="141"/>
    </row>
    <row r="270" spans="1:14" x14ac:dyDescent="0.2">
      <c r="A270" s="15"/>
      <c r="B270" s="32"/>
      <c r="C270" s="32"/>
      <c r="D270" s="137"/>
      <c r="E270" s="137"/>
      <c r="F270" s="142"/>
      <c r="G270" s="143" t="s">
        <v>304</v>
      </c>
      <c r="H270" s="143"/>
      <c r="I270" s="29"/>
      <c r="J270" s="144">
        <f>SUM(M175:M266)</f>
        <v>1.9134621342141625E-2</v>
      </c>
      <c r="K270" s="145"/>
    </row>
    <row r="271" spans="1:14" x14ac:dyDescent="0.2">
      <c r="A271" s="15"/>
      <c r="B271" s="32"/>
      <c r="C271" s="32"/>
      <c r="D271" s="137"/>
      <c r="E271" s="137"/>
      <c r="F271" s="142"/>
      <c r="G271" s="143"/>
      <c r="H271" s="143"/>
      <c r="I271" s="29"/>
      <c r="J271" s="144"/>
      <c r="K271" s="145"/>
    </row>
    <row r="272" spans="1:14" x14ac:dyDescent="0.2">
      <c r="A272" s="15"/>
      <c r="B272" s="32"/>
      <c r="C272" s="32"/>
      <c r="D272" s="137"/>
      <c r="E272" s="137"/>
      <c r="F272" s="142"/>
      <c r="G272" s="143"/>
      <c r="H272" s="143"/>
      <c r="I272" s="146"/>
      <c r="J272" s="144"/>
      <c r="K272" s="145"/>
    </row>
    <row r="273" spans="1:11" x14ac:dyDescent="0.2">
      <c r="A273" s="15"/>
      <c r="B273" s="32"/>
      <c r="C273" s="32"/>
      <c r="D273" s="137"/>
      <c r="E273" s="137"/>
      <c r="F273" s="142"/>
      <c r="G273" s="143"/>
      <c r="H273" s="143"/>
      <c r="I273" s="47"/>
      <c r="J273" s="144"/>
      <c r="K273" s="145"/>
    </row>
    <row r="274" spans="1:11" x14ac:dyDescent="0.2">
      <c r="A274" s="15"/>
      <c r="B274" s="32"/>
      <c r="C274" s="32"/>
      <c r="D274" s="137"/>
      <c r="E274" s="137"/>
      <c r="F274" s="142"/>
      <c r="G274" s="143"/>
      <c r="H274" s="143"/>
      <c r="I274" s="136"/>
      <c r="J274" s="144"/>
      <c r="K274" s="145"/>
    </row>
    <row r="275" spans="1:11" x14ac:dyDescent="0.2">
      <c r="A275" s="15"/>
      <c r="B275" s="32"/>
      <c r="C275" s="32"/>
      <c r="D275" s="137"/>
      <c r="E275" s="137"/>
      <c r="F275" s="142"/>
      <c r="G275" s="143"/>
      <c r="H275" s="143"/>
      <c r="I275" s="147"/>
      <c r="J275" s="144"/>
      <c r="K275" s="145"/>
    </row>
    <row r="276" spans="1:11" x14ac:dyDescent="0.2">
      <c r="A276" s="15"/>
      <c r="B276" s="32"/>
      <c r="C276" s="32"/>
      <c r="D276" s="137"/>
      <c r="E276" s="137"/>
      <c r="F276" s="142"/>
      <c r="G276" s="143"/>
      <c r="H276" s="143"/>
      <c r="I276" s="147"/>
      <c r="J276" s="144"/>
      <c r="K276" s="145"/>
    </row>
    <row r="277" spans="1:11" x14ac:dyDescent="0.2">
      <c r="A277" s="15"/>
      <c r="B277" s="32"/>
      <c r="C277" s="32"/>
      <c r="D277" s="137"/>
      <c r="E277" s="137"/>
      <c r="F277" s="142"/>
      <c r="G277" s="143"/>
      <c r="H277" s="143"/>
      <c r="I277" s="147"/>
      <c r="J277" s="144"/>
      <c r="K277" s="145"/>
    </row>
    <row r="278" spans="1:11" x14ac:dyDescent="0.2">
      <c r="A278" s="15"/>
      <c r="B278" s="32"/>
      <c r="C278" s="32"/>
      <c r="D278" s="137"/>
      <c r="E278" s="137"/>
      <c r="F278" s="142"/>
      <c r="G278" s="143"/>
      <c r="H278" s="143"/>
      <c r="I278" s="147"/>
      <c r="J278" s="144"/>
      <c r="K278" s="145"/>
    </row>
    <row r="279" spans="1:11" x14ac:dyDescent="0.2">
      <c r="A279" s="15"/>
      <c r="B279" s="32"/>
      <c r="C279" s="32"/>
      <c r="D279" s="137"/>
      <c r="E279" s="137"/>
      <c r="F279" s="142"/>
      <c r="G279" s="143"/>
      <c r="H279" s="143"/>
      <c r="I279" s="147"/>
      <c r="J279" s="144"/>
      <c r="K279" s="145"/>
    </row>
    <row r="280" spans="1:11" x14ac:dyDescent="0.2">
      <c r="A280" s="15"/>
      <c r="B280" s="32"/>
      <c r="C280" s="32"/>
      <c r="D280" s="137"/>
      <c r="E280" s="137"/>
      <c r="F280" s="142"/>
      <c r="G280" s="143"/>
      <c r="H280" s="143"/>
      <c r="I280" s="47"/>
      <c r="J280" s="144"/>
      <c r="K280" s="145"/>
    </row>
    <row r="281" spans="1:11" x14ac:dyDescent="0.2">
      <c r="A281" s="15"/>
      <c r="B281" s="32"/>
      <c r="C281" s="32"/>
      <c r="D281" s="137"/>
      <c r="E281" s="137"/>
      <c r="F281" s="142"/>
      <c r="G281" s="143"/>
      <c r="H281" s="143"/>
      <c r="I281" s="47"/>
      <c r="J281" s="144"/>
      <c r="K281" s="145"/>
    </row>
    <row r="282" spans="1:11" x14ac:dyDescent="0.2">
      <c r="A282" s="15"/>
      <c r="B282" s="32"/>
      <c r="C282" s="32"/>
      <c r="D282" s="137"/>
      <c r="E282" s="137"/>
      <c r="F282" s="142"/>
      <c r="G282" s="143"/>
      <c r="H282" s="143"/>
      <c r="I282" s="29"/>
      <c r="J282" s="144"/>
      <c r="K282" s="145"/>
    </row>
    <row r="283" spans="1:11" x14ac:dyDescent="0.2">
      <c r="A283" s="15"/>
      <c r="B283" s="32"/>
      <c r="C283" s="32"/>
      <c r="D283" s="137"/>
      <c r="E283" s="137"/>
      <c r="F283" s="142"/>
      <c r="G283" s="143"/>
      <c r="H283" s="143"/>
      <c r="I283" s="29"/>
      <c r="J283" s="144"/>
      <c r="K283" s="145"/>
    </row>
    <row r="284" spans="1:11" x14ac:dyDescent="0.2">
      <c r="A284" s="15"/>
      <c r="B284" s="32"/>
      <c r="C284" s="32"/>
      <c r="D284" s="137"/>
      <c r="E284" s="137"/>
      <c r="F284" s="142"/>
      <c r="G284" s="143"/>
      <c r="H284" s="143"/>
      <c r="I284" s="29"/>
      <c r="J284" s="144"/>
      <c r="K284" s="145"/>
    </row>
    <row r="285" spans="1:11" x14ac:dyDescent="0.2">
      <c r="A285" s="15"/>
      <c r="B285" s="32"/>
      <c r="C285" s="32"/>
      <c r="D285" s="137"/>
      <c r="E285" s="137"/>
      <c r="F285" s="142"/>
      <c r="G285" s="143"/>
      <c r="H285" s="143"/>
      <c r="I285" s="148"/>
      <c r="J285" s="145"/>
      <c r="K285" s="145"/>
    </row>
    <row r="286" spans="1:11" x14ac:dyDescent="0.2">
      <c r="A286" s="15"/>
      <c r="B286" s="32"/>
      <c r="C286" s="32"/>
      <c r="D286" s="137"/>
      <c r="E286" s="137"/>
      <c r="F286" s="142"/>
      <c r="G286" s="143"/>
      <c r="H286" s="138"/>
      <c r="I286" s="138"/>
      <c r="J286" s="138"/>
      <c r="K286" s="149"/>
    </row>
    <row r="287" spans="1:11" x14ac:dyDescent="0.2">
      <c r="B287" s="91"/>
      <c r="C287" s="91"/>
      <c r="D287" s="91"/>
      <c r="E287" s="91"/>
      <c r="F287" s="91"/>
      <c r="G287" s="91"/>
      <c r="H287" s="91"/>
      <c r="I287" s="91"/>
      <c r="J287" s="91"/>
      <c r="K287" s="91"/>
    </row>
    <row r="288" spans="1:11" x14ac:dyDescent="0.2">
      <c r="B288" s="91"/>
      <c r="C288" s="91"/>
      <c r="D288" s="91"/>
      <c r="E288" s="91"/>
      <c r="F288" s="91"/>
      <c r="G288" s="91"/>
      <c r="H288" s="91"/>
      <c r="I288" s="91"/>
      <c r="J288" s="91"/>
      <c r="K288" s="91"/>
    </row>
    <row r="289" spans="2:11" x14ac:dyDescent="0.2">
      <c r="B289" s="91"/>
      <c r="C289" s="91"/>
      <c r="D289" s="91"/>
      <c r="E289" s="91"/>
      <c r="F289" s="91"/>
      <c r="G289" s="91"/>
      <c r="H289" s="91"/>
      <c r="I289" s="91"/>
      <c r="J289" s="91"/>
      <c r="K289" s="91"/>
    </row>
    <row r="290" spans="2:11" x14ac:dyDescent="0.2">
      <c r="B290" s="91"/>
      <c r="C290" s="91"/>
      <c r="D290" s="91"/>
      <c r="E290" s="91"/>
      <c r="F290" s="91"/>
      <c r="G290" s="91"/>
      <c r="H290" s="91"/>
      <c r="I290" s="91"/>
      <c r="J290" s="91"/>
      <c r="K290" s="91"/>
    </row>
    <row r="291" spans="2:11" x14ac:dyDescent="0.2">
      <c r="B291" s="91"/>
      <c r="C291" s="91"/>
      <c r="D291" s="91"/>
      <c r="E291" s="91"/>
      <c r="F291" s="91"/>
      <c r="G291" s="91"/>
      <c r="H291" s="91"/>
      <c r="I291" s="91"/>
      <c r="J291" s="91"/>
      <c r="K291" s="91"/>
    </row>
    <row r="292" spans="2:11" x14ac:dyDescent="0.2">
      <c r="B292" s="91"/>
      <c r="C292" s="91"/>
      <c r="D292" s="91"/>
      <c r="E292" s="91"/>
      <c r="F292" s="91"/>
      <c r="G292" s="91"/>
      <c r="H292" s="91"/>
      <c r="I292" s="91"/>
      <c r="J292" s="91"/>
      <c r="K292" s="91"/>
    </row>
    <row r="293" spans="2:11" x14ac:dyDescent="0.2">
      <c r="B293" s="91"/>
      <c r="C293" s="91"/>
      <c r="D293" s="91"/>
      <c r="E293" s="91"/>
      <c r="F293" s="91"/>
      <c r="G293" s="91"/>
      <c r="H293" s="91"/>
      <c r="I293" s="91"/>
      <c r="J293" s="91"/>
      <c r="K293" s="91"/>
    </row>
    <row r="294" spans="2:11" x14ac:dyDescent="0.2">
      <c r="B294" s="91"/>
      <c r="C294" s="91"/>
      <c r="D294" s="91"/>
      <c r="E294" s="91"/>
      <c r="F294" s="91"/>
      <c r="G294" s="91"/>
      <c r="H294" s="91"/>
      <c r="I294" s="91"/>
      <c r="J294" s="91"/>
      <c r="K294" s="91"/>
    </row>
    <row r="295" spans="2:11" x14ac:dyDescent="0.2">
      <c r="B295" s="91"/>
      <c r="C295" s="91"/>
      <c r="D295" s="91"/>
      <c r="E295" s="91"/>
      <c r="F295" s="91"/>
      <c r="G295" s="91"/>
      <c r="H295" s="91"/>
      <c r="I295" s="91"/>
      <c r="J295" s="91"/>
      <c r="K295" s="91"/>
    </row>
    <row r="296" spans="2:11" x14ac:dyDescent="0.2">
      <c r="B296" s="91"/>
      <c r="C296" s="91"/>
      <c r="D296" s="91"/>
      <c r="E296" s="91"/>
      <c r="F296" s="91"/>
      <c r="G296" s="91"/>
      <c r="H296" s="91"/>
      <c r="I296" s="91"/>
      <c r="J296" s="91"/>
      <c r="K296" s="91"/>
    </row>
    <row r="297" spans="2:11" x14ac:dyDescent="0.2">
      <c r="B297" s="91"/>
      <c r="C297" s="91"/>
      <c r="D297" s="91"/>
      <c r="E297" s="91"/>
      <c r="F297" s="91"/>
      <c r="G297" s="91"/>
      <c r="H297" s="91"/>
      <c r="I297" s="91"/>
      <c r="J297" s="91"/>
      <c r="K297" s="91"/>
    </row>
    <row r="298" spans="2:11" x14ac:dyDescent="0.2">
      <c r="B298" s="91"/>
      <c r="C298" s="91"/>
      <c r="D298" s="91"/>
      <c r="E298" s="91"/>
      <c r="F298" s="91"/>
      <c r="G298" s="91"/>
      <c r="H298" s="91"/>
      <c r="I298" s="91"/>
      <c r="J298" s="91"/>
      <c r="K298" s="91"/>
    </row>
    <row r="299" spans="2:11" x14ac:dyDescent="0.2">
      <c r="B299" s="91"/>
      <c r="C299" s="91"/>
      <c r="D299" s="91"/>
      <c r="E299" s="91"/>
      <c r="F299" s="91"/>
      <c r="G299" s="91"/>
      <c r="H299" s="91"/>
      <c r="I299" s="91"/>
      <c r="J299" s="91"/>
      <c r="K299" s="91"/>
    </row>
    <row r="300" spans="2:11" x14ac:dyDescent="0.2">
      <c r="B300" s="91"/>
      <c r="C300" s="91"/>
      <c r="D300" s="91"/>
      <c r="E300" s="91"/>
      <c r="F300" s="91"/>
      <c r="G300" s="91"/>
      <c r="H300" s="91"/>
      <c r="I300" s="91"/>
      <c r="J300" s="91"/>
      <c r="K300" s="91"/>
    </row>
    <row r="301" spans="2:11" x14ac:dyDescent="0.2">
      <c r="B301" s="91"/>
      <c r="C301" s="91"/>
      <c r="D301" s="91"/>
      <c r="E301" s="91"/>
      <c r="F301" s="91"/>
      <c r="G301" s="91"/>
      <c r="H301" s="91"/>
      <c r="I301" s="91"/>
      <c r="J301" s="91"/>
      <c r="K301" s="91"/>
    </row>
    <row r="302" spans="2:11" x14ac:dyDescent="0.2">
      <c r="B302" s="91"/>
      <c r="C302" s="91"/>
      <c r="D302" s="91"/>
      <c r="E302" s="91"/>
      <c r="F302" s="91"/>
      <c r="G302" s="91"/>
      <c r="H302" s="91"/>
      <c r="I302" s="91"/>
      <c r="J302" s="91"/>
      <c r="K302" s="91"/>
    </row>
    <row r="303" spans="2:11" x14ac:dyDescent="0.2">
      <c r="B303" s="91"/>
      <c r="C303" s="91"/>
      <c r="D303" s="91"/>
      <c r="E303" s="91"/>
      <c r="F303" s="91"/>
      <c r="G303" s="91"/>
      <c r="H303" s="91"/>
      <c r="I303" s="91"/>
      <c r="J303" s="91"/>
      <c r="K303" s="91"/>
    </row>
    <row r="304" spans="2:11" x14ac:dyDescent="0.2">
      <c r="B304" s="91"/>
      <c r="C304" s="91"/>
      <c r="D304" s="91"/>
      <c r="E304" s="91"/>
      <c r="F304" s="91"/>
      <c r="G304" s="91"/>
      <c r="H304" s="91"/>
      <c r="I304" s="91"/>
      <c r="J304" s="91"/>
      <c r="K304" s="91"/>
    </row>
    <row r="305" spans="2:11" x14ac:dyDescent="0.2">
      <c r="B305" s="91"/>
      <c r="C305" s="91"/>
      <c r="D305" s="91"/>
      <c r="E305" s="91"/>
      <c r="F305" s="91"/>
      <c r="G305" s="91"/>
      <c r="H305" s="91"/>
      <c r="I305" s="91"/>
      <c r="J305" s="91"/>
      <c r="K305" s="91"/>
    </row>
    <row r="306" spans="2:11" x14ac:dyDescent="0.2">
      <c r="B306" s="91"/>
      <c r="C306" s="91"/>
      <c r="D306" s="91"/>
      <c r="E306" s="91"/>
      <c r="F306" s="91"/>
      <c r="G306" s="91"/>
      <c r="H306" s="91"/>
      <c r="I306" s="91"/>
      <c r="J306" s="91"/>
      <c r="K306" s="91"/>
    </row>
    <row r="307" spans="2:11" x14ac:dyDescent="0.2">
      <c r="B307" s="91"/>
      <c r="C307" s="91"/>
      <c r="D307" s="91"/>
      <c r="E307" s="91"/>
      <c r="F307" s="91"/>
      <c r="G307" s="91"/>
      <c r="H307" s="91"/>
      <c r="I307" s="91"/>
      <c r="J307" s="91"/>
      <c r="K307" s="91"/>
    </row>
    <row r="308" spans="2:11" x14ac:dyDescent="0.2">
      <c r="B308" s="91"/>
      <c r="C308" s="91"/>
      <c r="D308" s="91"/>
      <c r="E308" s="91"/>
      <c r="F308" s="91"/>
      <c r="G308" s="91"/>
      <c r="H308" s="91"/>
      <c r="I308" s="91"/>
      <c r="J308" s="91"/>
      <c r="K308" s="91"/>
    </row>
    <row r="309" spans="2:11" x14ac:dyDescent="0.2">
      <c r="B309" s="91"/>
      <c r="C309" s="91"/>
      <c r="D309" s="91"/>
      <c r="E309" s="91"/>
      <c r="F309" s="91"/>
      <c r="G309" s="91"/>
      <c r="H309" s="91"/>
      <c r="I309" s="91"/>
      <c r="J309" s="91"/>
      <c r="K309" s="91"/>
    </row>
    <row r="310" spans="2:11" x14ac:dyDescent="0.2">
      <c r="B310" s="91"/>
      <c r="C310" s="91"/>
      <c r="D310" s="91"/>
      <c r="E310" s="91"/>
      <c r="F310" s="91"/>
      <c r="G310" s="91"/>
      <c r="H310" s="91"/>
      <c r="I310" s="91"/>
      <c r="J310" s="91"/>
      <c r="K310" s="91"/>
    </row>
    <row r="311" spans="2:11" x14ac:dyDescent="0.2">
      <c r="B311" s="91"/>
      <c r="C311" s="91"/>
      <c r="D311" s="91"/>
      <c r="E311" s="91"/>
      <c r="F311" s="91"/>
      <c r="G311" s="91"/>
      <c r="H311" s="91"/>
      <c r="I311" s="91"/>
      <c r="J311" s="91"/>
      <c r="K311" s="91"/>
    </row>
    <row r="312" spans="2:11" x14ac:dyDescent="0.2">
      <c r="B312" s="91"/>
      <c r="C312" s="91"/>
      <c r="D312" s="91"/>
      <c r="E312" s="91"/>
      <c r="F312" s="91"/>
      <c r="G312" s="91"/>
      <c r="H312" s="91"/>
      <c r="I312" s="91"/>
      <c r="J312" s="91"/>
      <c r="K312" s="91"/>
    </row>
    <row r="313" spans="2:11" x14ac:dyDescent="0.2">
      <c r="B313" s="91"/>
      <c r="C313" s="91"/>
      <c r="D313" s="91"/>
      <c r="E313" s="91"/>
      <c r="F313" s="91"/>
      <c r="G313" s="91"/>
      <c r="H313" s="91"/>
      <c r="I313" s="91"/>
      <c r="J313" s="91"/>
      <c r="K313" s="91"/>
    </row>
    <row r="314" spans="2:11" x14ac:dyDescent="0.2">
      <c r="B314" s="91"/>
      <c r="C314" s="91"/>
      <c r="D314" s="91"/>
      <c r="E314" s="91"/>
      <c r="F314" s="91"/>
      <c r="G314" s="91"/>
      <c r="H314" s="91"/>
      <c r="I314" s="91"/>
      <c r="J314" s="91"/>
      <c r="K314" s="91"/>
    </row>
    <row r="315" spans="2:11" x14ac:dyDescent="0.2">
      <c r="B315" s="91"/>
      <c r="C315" s="91"/>
      <c r="D315" s="91"/>
      <c r="E315" s="91"/>
      <c r="F315" s="91"/>
      <c r="G315" s="91"/>
      <c r="H315" s="91"/>
      <c r="I315" s="91"/>
      <c r="J315" s="91"/>
      <c r="K315" s="91"/>
    </row>
    <row r="316" spans="2:11" x14ac:dyDescent="0.2">
      <c r="B316" s="91"/>
      <c r="C316" s="91"/>
      <c r="D316" s="91"/>
      <c r="E316" s="91"/>
      <c r="F316" s="91"/>
      <c r="G316" s="91"/>
      <c r="H316" s="91"/>
      <c r="I316" s="91"/>
      <c r="J316" s="91"/>
      <c r="K316" s="91"/>
    </row>
    <row r="317" spans="2:11" x14ac:dyDescent="0.2">
      <c r="B317" s="91"/>
      <c r="C317" s="91"/>
      <c r="D317" s="91"/>
      <c r="E317" s="91"/>
      <c r="F317" s="91"/>
      <c r="G317" s="91"/>
      <c r="H317" s="91"/>
      <c r="I317" s="91"/>
      <c r="J317" s="91"/>
      <c r="K317" s="91"/>
    </row>
    <row r="318" spans="2:11" x14ac:dyDescent="0.2">
      <c r="B318" s="91"/>
      <c r="C318" s="91"/>
      <c r="D318" s="91"/>
      <c r="E318" s="91"/>
      <c r="F318" s="91"/>
      <c r="G318" s="91"/>
      <c r="H318" s="91"/>
      <c r="I318" s="91"/>
      <c r="J318" s="91"/>
      <c r="K318" s="91"/>
    </row>
    <row r="319" spans="2:11" x14ac:dyDescent="0.2">
      <c r="B319" s="91"/>
      <c r="C319" s="91"/>
      <c r="D319" s="91"/>
      <c r="E319" s="91"/>
      <c r="F319" s="91"/>
      <c r="G319" s="91"/>
      <c r="H319" s="91"/>
      <c r="I319" s="91"/>
      <c r="J319" s="91"/>
      <c r="K319" s="91"/>
    </row>
    <row r="320" spans="2:11" x14ac:dyDescent="0.2">
      <c r="B320" s="91"/>
      <c r="C320" s="91"/>
      <c r="D320" s="91"/>
      <c r="E320" s="91"/>
      <c r="F320" s="91"/>
      <c r="G320" s="91"/>
      <c r="H320" s="91"/>
      <c r="I320" s="91"/>
      <c r="J320" s="91"/>
      <c r="K320" s="91"/>
    </row>
    <row r="321" spans="1:11" x14ac:dyDescent="0.2">
      <c r="B321" s="91"/>
      <c r="C321" s="91"/>
      <c r="D321" s="91"/>
      <c r="E321" s="91"/>
      <c r="F321" s="91"/>
      <c r="G321" s="91"/>
      <c r="H321" s="91"/>
      <c r="I321" s="91"/>
      <c r="J321" s="91"/>
      <c r="K321" s="91"/>
    </row>
    <row r="322" spans="1:11" x14ac:dyDescent="0.2">
      <c r="B322" s="91"/>
      <c r="C322" s="91"/>
      <c r="D322" s="91"/>
      <c r="E322" s="91"/>
      <c r="F322" s="91"/>
      <c r="G322" s="91"/>
      <c r="H322" s="91"/>
      <c r="I322" s="91"/>
      <c r="J322" s="91"/>
      <c r="K322" s="91"/>
    </row>
    <row r="323" spans="1:11" x14ac:dyDescent="0.2">
      <c r="B323" s="91"/>
      <c r="C323" s="91"/>
      <c r="D323" s="91"/>
      <c r="E323" s="91"/>
      <c r="F323" s="91"/>
      <c r="G323" s="91"/>
      <c r="H323" s="91"/>
      <c r="I323" s="91"/>
      <c r="J323" s="91"/>
      <c r="K323" s="91"/>
    </row>
    <row r="324" spans="1:11" x14ac:dyDescent="0.2">
      <c r="B324" s="91"/>
      <c r="C324" s="91"/>
      <c r="D324" s="91"/>
      <c r="E324" s="91"/>
      <c r="F324" s="91"/>
      <c r="G324" s="91"/>
      <c r="H324" s="91"/>
      <c r="I324" s="91"/>
      <c r="J324" s="91"/>
      <c r="K324" s="91"/>
    </row>
    <row r="325" spans="1:11" x14ac:dyDescent="0.2">
      <c r="A325" s="150"/>
      <c r="B325" s="91"/>
      <c r="C325" s="91"/>
      <c r="D325" s="44"/>
      <c r="E325" s="44"/>
      <c r="F325" s="142"/>
      <c r="G325" s="125"/>
      <c r="H325" s="44"/>
      <c r="I325" s="44"/>
      <c r="J325" s="44"/>
      <c r="K325" s="44"/>
    </row>
    <row r="326" spans="1:11" x14ac:dyDescent="0.2">
      <c r="A326" s="150" t="s">
        <v>305</v>
      </c>
      <c r="D326" s="91"/>
      <c r="E326" s="91"/>
      <c r="F326" s="142"/>
      <c r="G326" s="125"/>
      <c r="H326" s="44"/>
      <c r="I326" s="44"/>
      <c r="J326" s="44"/>
      <c r="K326" s="44"/>
    </row>
    <row r="327" spans="1:11" x14ac:dyDescent="0.2">
      <c r="A327" s="15" t="s">
        <v>306</v>
      </c>
      <c r="D327" s="91"/>
      <c r="E327" s="91"/>
      <c r="G327" s="151"/>
    </row>
    <row r="328" spans="1:11" x14ac:dyDescent="0.2">
      <c r="A328" s="143"/>
      <c r="D328" s="91"/>
      <c r="E328" s="91"/>
      <c r="G328" s="151"/>
    </row>
    <row r="329" spans="1:11" x14ac:dyDescent="0.2">
      <c r="A329" s="143"/>
      <c r="D329" s="91"/>
      <c r="E329" s="91"/>
      <c r="G329" s="151"/>
    </row>
    <row r="330" spans="1:11" x14ac:dyDescent="0.2">
      <c r="A330" s="143"/>
      <c r="D330" s="91"/>
      <c r="E330" s="91"/>
      <c r="G330" s="151"/>
    </row>
    <row r="331" spans="1:11" x14ac:dyDescent="0.2">
      <c r="A331" s="143"/>
      <c r="B331" s="3" t="s">
        <v>307</v>
      </c>
      <c r="D331" s="91"/>
      <c r="E331" s="91"/>
      <c r="G331" s="151"/>
    </row>
    <row r="332" spans="1:11" x14ac:dyDescent="0.2">
      <c r="A332" s="143"/>
      <c r="B332" s="3" t="s">
        <v>308</v>
      </c>
      <c r="F332" s="138"/>
    </row>
    <row r="333" spans="1:11" x14ac:dyDescent="0.2">
      <c r="A333" s="15"/>
      <c r="F333" s="138"/>
    </row>
    <row r="334" spans="1:11" x14ac:dyDescent="0.2">
      <c r="A334" s="15"/>
      <c r="B334" s="15" t="s">
        <v>309</v>
      </c>
      <c r="C334" s="15"/>
    </row>
    <row r="335" spans="1:11" x14ac:dyDescent="0.2">
      <c r="A335" s="15"/>
      <c r="B335" s="15" t="s">
        <v>310</v>
      </c>
      <c r="C335" s="15"/>
    </row>
    <row r="336" spans="1:11" x14ac:dyDescent="0.2">
      <c r="A336" s="15"/>
      <c r="B336" s="15" t="s">
        <v>311</v>
      </c>
      <c r="C336" s="15"/>
    </row>
    <row r="337" spans="1:11" x14ac:dyDescent="0.2">
      <c r="A337" s="15"/>
    </row>
    <row r="338" spans="1:11" x14ac:dyDescent="0.2">
      <c r="A338" s="15"/>
    </row>
    <row r="339" spans="1:11" x14ac:dyDescent="0.2">
      <c r="A339" s="15"/>
      <c r="F339" s="3" t="s">
        <v>312</v>
      </c>
    </row>
    <row r="340" spans="1:11" x14ac:dyDescent="0.2">
      <c r="A340" s="15"/>
      <c r="D340" s="91"/>
      <c r="E340" s="91"/>
    </row>
    <row r="341" spans="1:11" x14ac:dyDescent="0.2">
      <c r="A341" s="15"/>
      <c r="D341" s="91"/>
      <c r="E341" s="91"/>
    </row>
    <row r="342" spans="1:11" ht="12" thickBot="1" x14ac:dyDescent="0.25">
      <c r="A342" s="15"/>
      <c r="D342" s="91"/>
      <c r="E342" s="91"/>
      <c r="J342" s="91"/>
      <c r="K342" s="91"/>
    </row>
    <row r="343" spans="1:11" x14ac:dyDescent="0.2">
      <c r="B343" s="91"/>
      <c r="C343" s="91"/>
      <c r="D343" s="91"/>
      <c r="E343" s="91"/>
      <c r="F343" s="152" t="s">
        <v>313</v>
      </c>
      <c r="G343" s="152"/>
      <c r="H343" s="152"/>
      <c r="I343" s="152" t="s">
        <v>314</v>
      </c>
      <c r="J343" s="91"/>
      <c r="K343" s="91"/>
    </row>
    <row r="358" spans="1:18" s="4" customFormat="1" ht="33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53" t="s">
        <v>315</v>
      </c>
      <c r="M358" s="153" t="s">
        <v>316</v>
      </c>
      <c r="N358" s="154" t="s">
        <v>317</v>
      </c>
      <c r="O358" s="153" t="s">
        <v>318</v>
      </c>
      <c r="P358" s="153" t="s">
        <v>319</v>
      </c>
      <c r="R358" s="3"/>
    </row>
    <row r="359" spans="1:18" s="4" customFormat="1" ht="26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89">
        <f>M359/M364</f>
        <v>8.3032911105217308E-2</v>
      </c>
      <c r="L359" s="155" t="str">
        <f t="shared" ref="L359" si="14">+M119</f>
        <v>Bank of the West</v>
      </c>
      <c r="M359" s="156">
        <f>+N119</f>
        <v>5329765.0100000016</v>
      </c>
      <c r="N359" s="157" t="str">
        <f t="shared" ref="N359:O359" si="15">+P119</f>
        <v>-</v>
      </c>
      <c r="O359" s="157" t="str">
        <f t="shared" si="15"/>
        <v>-</v>
      </c>
      <c r="P359" s="158" t="str">
        <f t="shared" ref="P359" si="16">+Q119</f>
        <v>-</v>
      </c>
      <c r="R359" s="3"/>
    </row>
    <row r="360" spans="1:18" s="4" customFormat="1" ht="26.2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89">
        <f>M360/M364</f>
        <v>0.48699104140157123</v>
      </c>
      <c r="L360" s="155" t="str">
        <f>+M121</f>
        <v>State of California - LAIF</v>
      </c>
      <c r="M360" s="159">
        <f>+N121</f>
        <v>31259265.489999995</v>
      </c>
      <c r="N360" s="160">
        <f>+P121</f>
        <v>0.53108889871777176</v>
      </c>
      <c r="O360" s="158">
        <f t="shared" ref="O360" si="17">+O121</f>
        <v>2.4279999999999999E-2</v>
      </c>
      <c r="P360" s="158">
        <f>+Q121</f>
        <v>1.29E-2</v>
      </c>
      <c r="R360" s="3"/>
    </row>
    <row r="361" spans="1:18" s="4" customFormat="1" ht="26.2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89">
        <f>M361/M364</f>
        <v>0.27185519362814115</v>
      </c>
      <c r="L361" s="155" t="str">
        <f>+M123</f>
        <v>Vining Sparks - CD</v>
      </c>
      <c r="M361" s="159">
        <f>+N123</f>
        <v>17450000</v>
      </c>
      <c r="N361" s="160">
        <f>+P123</f>
        <v>0.29647213833574693</v>
      </c>
      <c r="O361" s="158">
        <f>+O123</f>
        <v>1.8028571428571418E-2</v>
      </c>
      <c r="P361" s="158">
        <f>+Q123</f>
        <v>5.3E-3</v>
      </c>
      <c r="R361" s="3"/>
    </row>
    <row r="362" spans="1:18" s="4" customFormat="1" ht="26.2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89">
        <f>M362/M364</f>
        <v>9.3474565144346516E-2</v>
      </c>
      <c r="L362" s="155" t="str">
        <f>+M124</f>
        <v>Vining Sparks - Treasury</v>
      </c>
      <c r="M362" s="159">
        <f>+N124</f>
        <v>6000000</v>
      </c>
      <c r="N362" s="160">
        <f>+P124</f>
        <v>0.10193884412690438</v>
      </c>
      <c r="O362" s="158">
        <f>+O124</f>
        <v>1.4107142857142858E-2</v>
      </c>
      <c r="P362" s="158">
        <f>+Q124</f>
        <v>1.4E-3</v>
      </c>
      <c r="R362" s="3"/>
    </row>
    <row r="363" spans="1:18" s="4" customFormat="1" ht="26.2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89">
        <f>M363/M364</f>
        <v>6.4646288720723727E-2</v>
      </c>
      <c r="L363" s="155" t="str">
        <f>+M122</f>
        <v>Malaga Bank - CD</v>
      </c>
      <c r="M363" s="159">
        <f>+N122</f>
        <v>4149553.75</v>
      </c>
      <c r="N363" s="160">
        <f>+P122</f>
        <v>7.0500118819576921E-2</v>
      </c>
      <c r="O363" s="158">
        <f>+O122</f>
        <v>1.6750000000000001E-2</v>
      </c>
      <c r="P363" s="158">
        <f>+Q122</f>
        <v>1.1999999999999999E-3</v>
      </c>
      <c r="R363" s="3"/>
    </row>
    <row r="364" spans="1:18" s="4" customFormat="1" ht="26.2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161"/>
      <c r="M364" s="162">
        <f>SUM(M359:M363)</f>
        <v>64188584.25</v>
      </c>
      <c r="N364" s="163">
        <f>SUM(N359:N363)</f>
        <v>1</v>
      </c>
      <c r="O364" s="163"/>
      <c r="P364" s="163">
        <f>SUM(P359:P363)</f>
        <v>2.0799999999999999E-2</v>
      </c>
      <c r="R364" s="3"/>
    </row>
    <row r="365" spans="1:18" s="4" customFormat="1" ht="26.2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164" t="s">
        <v>320</v>
      </c>
      <c r="M365" s="164"/>
      <c r="N365" s="164"/>
      <c r="O365" s="164"/>
      <c r="P365" s="164"/>
      <c r="R365" s="3"/>
    </row>
    <row r="366" spans="1:18" ht="15.75" customHeight="1" x14ac:dyDescent="0.2">
      <c r="L366" s="165"/>
      <c r="M366" s="165"/>
      <c r="N366" s="165"/>
      <c r="O366" s="165"/>
      <c r="P366" s="165"/>
    </row>
    <row r="367" spans="1:18" ht="15.75" customHeight="1" x14ac:dyDescent="0.2"/>
  </sheetData>
  <mergeCells count="10">
    <mergeCell ref="A168:J168"/>
    <mergeCell ref="A169:J169"/>
    <mergeCell ref="A170:J170"/>
    <mergeCell ref="L365:P366"/>
    <mergeCell ref="A1:I1"/>
    <mergeCell ref="A2:I2"/>
    <mergeCell ref="A3:I3"/>
    <mergeCell ref="A92:I92"/>
    <mergeCell ref="A93:I93"/>
    <mergeCell ref="A94:I9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2019-08-22T23:09:25Z</dcterms:created>
  <dcterms:modified xsi:type="dcterms:W3CDTF">2019-08-22T23:10:05Z</dcterms:modified>
</cp:coreProperties>
</file>